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алина СИРГІ\Documents\Інформація на сайт НМР (Інформація щодо бюджету)\2025\липень 2025\"/>
    </mc:Choice>
  </mc:AlternateContent>
  <bookViews>
    <workbookView xWindow="0" yWindow="75" windowWidth="28755" windowHeight="126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94" i="1" l="1"/>
  <c r="O94" i="1"/>
  <c r="N94" i="1"/>
  <c r="K94" i="1"/>
  <c r="M94" i="1" s="1"/>
  <c r="L94" i="1"/>
  <c r="R94" i="1"/>
  <c r="Q94" i="1"/>
  <c r="J94" i="1"/>
  <c r="I94" i="1"/>
  <c r="J26" i="1" l="1"/>
  <c r="I26" i="1"/>
  <c r="J25" i="1"/>
  <c r="E18" i="1"/>
  <c r="D19" i="1"/>
  <c r="K64" i="1"/>
  <c r="J64" i="1"/>
  <c r="I64" i="1"/>
  <c r="F64" i="1"/>
  <c r="E64" i="1"/>
  <c r="D64" i="1"/>
  <c r="P79" i="1"/>
  <c r="Q79" i="1" s="1"/>
  <c r="O79" i="1"/>
  <c r="N79" i="1"/>
  <c r="L79" i="1"/>
  <c r="E57" i="1"/>
  <c r="D57" i="1"/>
  <c r="E47" i="1"/>
  <c r="D47" i="1"/>
  <c r="E41" i="1"/>
  <c r="E36" i="1"/>
  <c r="D36" i="1"/>
  <c r="E19" i="1"/>
  <c r="D18" i="1"/>
  <c r="P92" i="1" l="1"/>
  <c r="N28" i="1" l="1"/>
  <c r="J61" i="1"/>
  <c r="E25" i="1"/>
  <c r="I61" i="1"/>
  <c r="D41" i="1"/>
  <c r="P59" i="1" l="1"/>
  <c r="O59" i="1"/>
  <c r="N59" i="1"/>
  <c r="M56" i="1"/>
  <c r="L56" i="1"/>
  <c r="K56" i="1"/>
  <c r="J56" i="1"/>
  <c r="I56" i="1"/>
  <c r="F56" i="1"/>
  <c r="E56" i="1"/>
  <c r="D56" i="1"/>
  <c r="R59" i="1" l="1"/>
  <c r="H56" i="1"/>
  <c r="Q59" i="1"/>
  <c r="L26" i="1"/>
  <c r="J28" i="1"/>
  <c r="I28" i="1"/>
  <c r="O28" i="1" l="1"/>
  <c r="P28" i="1"/>
  <c r="Q28" i="1" l="1"/>
  <c r="L93" i="1"/>
  <c r="H93" i="1"/>
  <c r="G93" i="1"/>
  <c r="L91" i="1"/>
  <c r="L86" i="1"/>
  <c r="L85" i="1"/>
  <c r="L84" i="1"/>
  <c r="L81" i="1"/>
  <c r="H91" i="1"/>
  <c r="G91" i="1"/>
  <c r="H83" i="1"/>
  <c r="H82" i="1"/>
  <c r="H81" i="1"/>
  <c r="L66" i="1"/>
  <c r="L65" i="1"/>
  <c r="P70" i="1"/>
  <c r="O70" i="1"/>
  <c r="N70" i="1"/>
  <c r="P78" i="1"/>
  <c r="O78" i="1"/>
  <c r="N78" i="1"/>
  <c r="L78" i="1"/>
  <c r="L73" i="1"/>
  <c r="M78" i="1"/>
  <c r="M70" i="1"/>
  <c r="M67" i="1"/>
  <c r="M64" i="1" s="1"/>
  <c r="M62" i="1"/>
  <c r="M52" i="1"/>
  <c r="M54" i="1"/>
  <c r="M53" i="1"/>
  <c r="M41" i="1"/>
  <c r="M33" i="1"/>
  <c r="L70" i="1"/>
  <c r="L62" i="1"/>
  <c r="L55" i="1"/>
  <c r="L54" i="1"/>
  <c r="L53" i="1"/>
  <c r="L52" i="1"/>
  <c r="L33" i="1"/>
  <c r="P29" i="1"/>
  <c r="O29" i="1"/>
  <c r="N29" i="1"/>
  <c r="P25" i="1"/>
  <c r="M16" i="1"/>
  <c r="M10" i="1"/>
  <c r="M9" i="1"/>
  <c r="M30" i="1"/>
  <c r="M29" i="1"/>
  <c r="M27" i="1"/>
  <c r="M24" i="1"/>
  <c r="M23" i="1"/>
  <c r="M22" i="1"/>
  <c r="M21" i="1"/>
  <c r="M18" i="1"/>
  <c r="H31" i="1"/>
  <c r="G31" i="1"/>
  <c r="G30" i="1"/>
  <c r="G29" i="1"/>
  <c r="H27" i="1"/>
  <c r="G27" i="1"/>
  <c r="L31" i="1"/>
  <c r="L30" i="1"/>
  <c r="L29" i="1"/>
  <c r="L27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0" i="1"/>
  <c r="L9" i="1"/>
  <c r="Q29" i="1" l="1"/>
  <c r="R29" i="1"/>
  <c r="Q70" i="1"/>
  <c r="R70" i="1"/>
  <c r="Q78" i="1"/>
  <c r="I25" i="1"/>
  <c r="D25" i="1" l="1"/>
  <c r="H26" i="1" l="1"/>
  <c r="G26" i="1"/>
  <c r="F12" i="1"/>
  <c r="P93" i="1" l="1"/>
  <c r="O93" i="1"/>
  <c r="N93" i="1"/>
  <c r="R93" i="1" l="1"/>
  <c r="Q93" i="1"/>
  <c r="J60" i="1"/>
  <c r="N102" i="1"/>
  <c r="O91" i="1" l="1"/>
  <c r="O90" i="1"/>
  <c r="O89" i="1"/>
  <c r="O88" i="1"/>
  <c r="O87" i="1"/>
  <c r="O86" i="1"/>
  <c r="O85" i="1"/>
  <c r="O84" i="1"/>
  <c r="O83" i="1"/>
  <c r="O82" i="1"/>
  <c r="O81" i="1"/>
  <c r="O77" i="1"/>
  <c r="O76" i="1"/>
  <c r="O75" i="1"/>
  <c r="O74" i="1"/>
  <c r="O73" i="1"/>
  <c r="O72" i="1"/>
  <c r="O69" i="1"/>
  <c r="O68" i="1"/>
  <c r="O67" i="1"/>
  <c r="O64" i="1" s="1"/>
  <c r="O66" i="1"/>
  <c r="O65" i="1"/>
  <c r="O62" i="1"/>
  <c r="O57" i="1"/>
  <c r="O55" i="1"/>
  <c r="O54" i="1"/>
  <c r="O53" i="1"/>
  <c r="O52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4" i="1"/>
  <c r="O33" i="1"/>
  <c r="O31" i="1"/>
  <c r="O30" i="1"/>
  <c r="O27" i="1"/>
  <c r="Q27" i="1" s="1"/>
  <c r="O26" i="1"/>
  <c r="Q25" i="1"/>
  <c r="O24" i="1"/>
  <c r="O23" i="1"/>
  <c r="O22" i="1"/>
  <c r="O21" i="1"/>
  <c r="O20" i="1"/>
  <c r="O19" i="1"/>
  <c r="O18" i="1"/>
  <c r="O17" i="1"/>
  <c r="O16" i="1"/>
  <c r="O15" i="1"/>
  <c r="O14" i="1"/>
  <c r="O13" i="1"/>
  <c r="O11" i="1"/>
  <c r="O10" i="1"/>
  <c r="N91" i="1"/>
  <c r="N90" i="1"/>
  <c r="N89" i="1"/>
  <c r="N88" i="1"/>
  <c r="N87" i="1"/>
  <c r="N86" i="1"/>
  <c r="N85" i="1"/>
  <c r="N84" i="1"/>
  <c r="N83" i="1"/>
  <c r="N82" i="1"/>
  <c r="N81" i="1"/>
  <c r="N77" i="1"/>
  <c r="N76" i="1"/>
  <c r="N75" i="1"/>
  <c r="N74" i="1"/>
  <c r="N73" i="1"/>
  <c r="N72" i="1"/>
  <c r="N69" i="1"/>
  <c r="N68" i="1"/>
  <c r="N67" i="1"/>
  <c r="N66" i="1"/>
  <c r="N65" i="1"/>
  <c r="N62" i="1"/>
  <c r="N57" i="1"/>
  <c r="N56" i="1" s="1"/>
  <c r="N55" i="1"/>
  <c r="N54" i="1"/>
  <c r="N53" i="1"/>
  <c r="N52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4" i="1"/>
  <c r="N33" i="1"/>
  <c r="N31" i="1"/>
  <c r="N30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1" i="1"/>
  <c r="N10" i="1"/>
  <c r="J8" i="1"/>
  <c r="I8" i="1"/>
  <c r="J12" i="1"/>
  <c r="I12" i="1"/>
  <c r="J32" i="1"/>
  <c r="I32" i="1"/>
  <c r="J35" i="1"/>
  <c r="I35" i="1"/>
  <c r="J51" i="1"/>
  <c r="I51" i="1"/>
  <c r="I60" i="1"/>
  <c r="K80" i="1"/>
  <c r="J80" i="1"/>
  <c r="I80" i="1"/>
  <c r="F80" i="1"/>
  <c r="E80" i="1"/>
  <c r="G65" i="1"/>
  <c r="P65" i="1"/>
  <c r="N64" i="1" l="1"/>
  <c r="N51" i="1"/>
  <c r="N35" i="1"/>
  <c r="N32" i="1"/>
  <c r="O80" i="1"/>
  <c r="O51" i="1"/>
  <c r="O35" i="1"/>
  <c r="O32" i="1"/>
  <c r="O12" i="1"/>
  <c r="N12" i="1"/>
  <c r="N80" i="1"/>
  <c r="Q65" i="1"/>
  <c r="P30" i="1"/>
  <c r="P91" i="1"/>
  <c r="K12" i="1"/>
  <c r="F8" i="1"/>
  <c r="F35" i="1"/>
  <c r="P31" i="1"/>
  <c r="P26" i="1"/>
  <c r="D12" i="1"/>
  <c r="E12" i="1"/>
  <c r="Q91" i="1" l="1"/>
  <c r="R91" i="1"/>
  <c r="Q26" i="1"/>
  <c r="R26" i="1"/>
  <c r="R30" i="1"/>
  <c r="Q30" i="1"/>
  <c r="R31" i="1"/>
  <c r="Q31" i="1"/>
  <c r="H12" i="1"/>
  <c r="L82" i="1"/>
  <c r="H86" i="1"/>
  <c r="H85" i="1"/>
  <c r="G87" i="1"/>
  <c r="G86" i="1"/>
  <c r="G85" i="1"/>
  <c r="G84" i="1"/>
  <c r="G83" i="1"/>
  <c r="G82" i="1"/>
  <c r="G81" i="1"/>
  <c r="G77" i="1"/>
  <c r="G76" i="1"/>
  <c r="G75" i="1"/>
  <c r="G74" i="1"/>
  <c r="G73" i="1"/>
  <c r="G72" i="1"/>
  <c r="G69" i="1"/>
  <c r="G68" i="1"/>
  <c r="G67" i="1"/>
  <c r="G66" i="1"/>
  <c r="G62" i="1"/>
  <c r="G57" i="1"/>
  <c r="G56" i="1" s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20" i="1"/>
  <c r="G19" i="1"/>
  <c r="G18" i="1"/>
  <c r="G17" i="1"/>
  <c r="G16" i="1"/>
  <c r="G15" i="1"/>
  <c r="G14" i="1"/>
  <c r="G13" i="1"/>
  <c r="D80" i="1"/>
  <c r="G64" i="1" l="1"/>
  <c r="G12" i="1"/>
  <c r="L39" i="1"/>
  <c r="P48" i="1" l="1"/>
  <c r="M12" i="1"/>
  <c r="R24" i="1"/>
  <c r="H24" i="1"/>
  <c r="H22" i="1"/>
  <c r="P22" i="1"/>
  <c r="R22" i="1" l="1"/>
  <c r="R48" i="1"/>
  <c r="Q48" i="1"/>
  <c r="Q24" i="1"/>
  <c r="Q22" i="1"/>
  <c r="Q23" i="1" l="1"/>
  <c r="R23" i="1" l="1"/>
  <c r="L90" i="1"/>
  <c r="H90" i="1"/>
  <c r="H89" i="1"/>
  <c r="G90" i="1"/>
  <c r="G89" i="1"/>
  <c r="E8" i="1" l="1"/>
  <c r="H58" i="1" l="1"/>
  <c r="P89" i="1" l="1"/>
  <c r="R89" i="1" s="1"/>
  <c r="Q89" i="1" l="1"/>
  <c r="O58" i="1" l="1"/>
  <c r="O56" i="1" s="1"/>
  <c r="N58" i="1"/>
  <c r="P83" i="1" l="1"/>
  <c r="R83" i="1" s="1"/>
  <c r="Q83" i="1" l="1"/>
  <c r="P58" i="1" l="1"/>
  <c r="H21" i="1"/>
  <c r="J103" i="1" l="1"/>
  <c r="I103" i="1"/>
  <c r="F103" i="1"/>
  <c r="E103" i="1"/>
  <c r="D103" i="1"/>
  <c r="O102" i="1"/>
  <c r="G102" i="1"/>
  <c r="O101" i="1"/>
  <c r="N101" i="1"/>
  <c r="G101" i="1"/>
  <c r="J100" i="1"/>
  <c r="I100" i="1"/>
  <c r="F100" i="1"/>
  <c r="E100" i="1"/>
  <c r="D100" i="1"/>
  <c r="J96" i="1"/>
  <c r="I96" i="1"/>
  <c r="E96" i="1"/>
  <c r="D96" i="1"/>
  <c r="P90" i="1"/>
  <c r="R90" i="1" s="1"/>
  <c r="P88" i="1"/>
  <c r="R88" i="1" s="1"/>
  <c r="L88" i="1"/>
  <c r="H88" i="1"/>
  <c r="G88" i="1"/>
  <c r="P87" i="1"/>
  <c r="R87" i="1" s="1"/>
  <c r="P86" i="1"/>
  <c r="R86" i="1" s="1"/>
  <c r="P85" i="1"/>
  <c r="R85" i="1" s="1"/>
  <c r="P84" i="1"/>
  <c r="R84" i="1" s="1"/>
  <c r="P82" i="1"/>
  <c r="R82" i="1" s="1"/>
  <c r="P81" i="1"/>
  <c r="R81" i="1" s="1"/>
  <c r="P77" i="1"/>
  <c r="L77" i="1"/>
  <c r="P76" i="1"/>
  <c r="L76" i="1"/>
  <c r="P75" i="1"/>
  <c r="L75" i="1"/>
  <c r="P74" i="1"/>
  <c r="L74" i="1"/>
  <c r="P73" i="1"/>
  <c r="H73" i="1"/>
  <c r="P72" i="1"/>
  <c r="L72" i="1"/>
  <c r="H72" i="1"/>
  <c r="P69" i="1"/>
  <c r="R69" i="1" s="1"/>
  <c r="P68" i="1"/>
  <c r="R68" i="1" s="1"/>
  <c r="P67" i="1"/>
  <c r="L67" i="1"/>
  <c r="P66" i="1"/>
  <c r="P64" i="1" s="1"/>
  <c r="P63" i="1"/>
  <c r="O63" i="1"/>
  <c r="N63" i="1"/>
  <c r="L63" i="1"/>
  <c r="P62" i="1"/>
  <c r="H62" i="1"/>
  <c r="G60" i="1"/>
  <c r="P61" i="1"/>
  <c r="O61" i="1"/>
  <c r="N61" i="1"/>
  <c r="K60" i="1"/>
  <c r="M60" i="1" s="1"/>
  <c r="F60" i="1"/>
  <c r="E60" i="1"/>
  <c r="D60" i="1"/>
  <c r="P57" i="1"/>
  <c r="P56" i="1" s="1"/>
  <c r="L57" i="1"/>
  <c r="H57" i="1"/>
  <c r="P55" i="1"/>
  <c r="H55" i="1"/>
  <c r="P54" i="1"/>
  <c r="H54" i="1"/>
  <c r="P53" i="1"/>
  <c r="H53" i="1"/>
  <c r="P52" i="1"/>
  <c r="H52" i="1"/>
  <c r="K51" i="1"/>
  <c r="M51" i="1" s="1"/>
  <c r="F51" i="1"/>
  <c r="E51" i="1"/>
  <c r="D51" i="1"/>
  <c r="P50" i="1"/>
  <c r="L50" i="1"/>
  <c r="H50" i="1"/>
  <c r="P49" i="1"/>
  <c r="H49" i="1"/>
  <c r="P47" i="1"/>
  <c r="L47" i="1"/>
  <c r="H47" i="1"/>
  <c r="P46" i="1"/>
  <c r="L46" i="1"/>
  <c r="P45" i="1"/>
  <c r="L45" i="1"/>
  <c r="P44" i="1"/>
  <c r="L44" i="1"/>
  <c r="H44" i="1"/>
  <c r="P43" i="1"/>
  <c r="L43" i="1"/>
  <c r="P42" i="1"/>
  <c r="L42" i="1"/>
  <c r="H42" i="1"/>
  <c r="P41" i="1"/>
  <c r="L41" i="1"/>
  <c r="P40" i="1"/>
  <c r="L40" i="1"/>
  <c r="P39" i="1"/>
  <c r="H39" i="1"/>
  <c r="P38" i="1"/>
  <c r="L38" i="1"/>
  <c r="H38" i="1"/>
  <c r="P37" i="1"/>
  <c r="L37" i="1"/>
  <c r="H37" i="1"/>
  <c r="P36" i="1"/>
  <c r="L36" i="1"/>
  <c r="H36" i="1"/>
  <c r="K35" i="1"/>
  <c r="E35" i="1"/>
  <c r="D35" i="1"/>
  <c r="P34" i="1"/>
  <c r="L34" i="1"/>
  <c r="L32" i="1" s="1"/>
  <c r="H34" i="1"/>
  <c r="P33" i="1"/>
  <c r="H33" i="1"/>
  <c r="K32" i="1"/>
  <c r="F32" i="1"/>
  <c r="E32" i="1"/>
  <c r="D32" i="1"/>
  <c r="P21" i="1"/>
  <c r="P20" i="1"/>
  <c r="H20" i="1"/>
  <c r="P19" i="1"/>
  <c r="H19" i="1"/>
  <c r="P18" i="1"/>
  <c r="H18" i="1"/>
  <c r="P17" i="1"/>
  <c r="M17" i="1"/>
  <c r="H17" i="1"/>
  <c r="P16" i="1"/>
  <c r="H16" i="1"/>
  <c r="P15" i="1"/>
  <c r="H15" i="1"/>
  <c r="P14" i="1"/>
  <c r="M14" i="1"/>
  <c r="H14" i="1"/>
  <c r="P13" i="1"/>
  <c r="M13" i="1"/>
  <c r="H13" i="1"/>
  <c r="P11" i="1"/>
  <c r="L11" i="1"/>
  <c r="H11" i="1"/>
  <c r="G11" i="1"/>
  <c r="P10" i="1"/>
  <c r="H10" i="1"/>
  <c r="G10" i="1"/>
  <c r="P9" i="1"/>
  <c r="O9" i="1"/>
  <c r="O8" i="1" s="1"/>
  <c r="N9" i="1"/>
  <c r="N8" i="1" s="1"/>
  <c r="H9" i="1"/>
  <c r="G9" i="1"/>
  <c r="K8" i="1"/>
  <c r="M8" i="1" s="1"/>
  <c r="D8" i="1"/>
  <c r="H64" i="1" l="1"/>
  <c r="L64" i="1"/>
  <c r="Q9" i="1"/>
  <c r="F94" i="1"/>
  <c r="N60" i="1"/>
  <c r="O60" i="1"/>
  <c r="D94" i="1"/>
  <c r="E94" i="1"/>
  <c r="P80" i="1"/>
  <c r="M35" i="1"/>
  <c r="P12" i="1"/>
  <c r="L12" i="1"/>
  <c r="G32" i="1"/>
  <c r="H32" i="1"/>
  <c r="P51" i="1"/>
  <c r="R61" i="1"/>
  <c r="P32" i="1"/>
  <c r="G103" i="1"/>
  <c r="O103" i="1"/>
  <c r="N100" i="1"/>
  <c r="N97" i="1" s="1"/>
  <c r="N96" i="1" s="1"/>
  <c r="G51" i="1"/>
  <c r="L51" i="1"/>
  <c r="G80" i="1"/>
  <c r="R14" i="1"/>
  <c r="R16" i="1"/>
  <c r="R19" i="1"/>
  <c r="Q74" i="1"/>
  <c r="Q75" i="1"/>
  <c r="Q76" i="1"/>
  <c r="Q77" i="1"/>
  <c r="G8" i="1"/>
  <c r="R15" i="1"/>
  <c r="R18" i="1"/>
  <c r="Q55" i="1"/>
  <c r="L60" i="1"/>
  <c r="G100" i="1"/>
  <c r="G97" i="1" s="1"/>
  <c r="G96" i="1" s="1"/>
  <c r="O100" i="1"/>
  <c r="O97" i="1" s="1"/>
  <c r="O96" i="1" s="1"/>
  <c r="L8" i="1"/>
  <c r="L35" i="1"/>
  <c r="R21" i="1"/>
  <c r="R33" i="1"/>
  <c r="R34" i="1"/>
  <c r="Q39" i="1"/>
  <c r="Q40" i="1"/>
  <c r="R42" i="1"/>
  <c r="Q45" i="1"/>
  <c r="Q49" i="1"/>
  <c r="Q50" i="1"/>
  <c r="R57" i="1"/>
  <c r="R56" i="1" s="1"/>
  <c r="R62" i="1"/>
  <c r="Q63" i="1"/>
  <c r="Q47" i="1"/>
  <c r="G35" i="1"/>
  <c r="Q17" i="1"/>
  <c r="Q13" i="1"/>
  <c r="H8" i="1"/>
  <c r="P8" i="1"/>
  <c r="R10" i="1"/>
  <c r="R11" i="1"/>
  <c r="R13" i="1"/>
  <c r="R17" i="1"/>
  <c r="Q19" i="1"/>
  <c r="R20" i="1"/>
  <c r="Q21" i="1"/>
  <c r="H35" i="1"/>
  <c r="P35" i="1"/>
  <c r="R36" i="1"/>
  <c r="R37" i="1"/>
  <c r="R38" i="1"/>
  <c r="Q41" i="1"/>
  <c r="Q42" i="1"/>
  <c r="Q43" i="1"/>
  <c r="Q44" i="1"/>
  <c r="R46" i="1"/>
  <c r="R47" i="1"/>
  <c r="H51" i="1"/>
  <c r="Q52" i="1"/>
  <c r="Q53" i="1"/>
  <c r="Q54" i="1"/>
  <c r="R55" i="1"/>
  <c r="H60" i="1"/>
  <c r="P60" i="1"/>
  <c r="R72" i="1"/>
  <c r="R73" i="1"/>
  <c r="H80" i="1"/>
  <c r="L80" i="1"/>
  <c r="Q82" i="1"/>
  <c r="Q84" i="1"/>
  <c r="Q85" i="1"/>
  <c r="Q86" i="1"/>
  <c r="Q87" i="1"/>
  <c r="Q88" i="1"/>
  <c r="Q90" i="1"/>
  <c r="F97" i="1"/>
  <c r="F96" i="1" s="1"/>
  <c r="N103" i="1"/>
  <c r="R9" i="1"/>
  <c r="Q10" i="1"/>
  <c r="Q11" i="1"/>
  <c r="Q14" i="1"/>
  <c r="Q15" i="1"/>
  <c r="Q16" i="1"/>
  <c r="Q18" i="1"/>
  <c r="Q20" i="1"/>
  <c r="Q33" i="1"/>
  <c r="Q34" i="1"/>
  <c r="Q36" i="1"/>
  <c r="Q37" i="1"/>
  <c r="Q38" i="1"/>
  <c r="R39" i="1"/>
  <c r="R44" i="1"/>
  <c r="Q46" i="1"/>
  <c r="R49" i="1"/>
  <c r="R50" i="1"/>
  <c r="R52" i="1"/>
  <c r="R53" i="1"/>
  <c r="R54" i="1"/>
  <c r="Q57" i="1"/>
  <c r="Q56" i="1" s="1"/>
  <c r="Q61" i="1"/>
  <c r="Q62" i="1"/>
  <c r="Q66" i="1"/>
  <c r="Q67" i="1"/>
  <c r="Q68" i="1"/>
  <c r="Q69" i="1"/>
  <c r="Q72" i="1"/>
  <c r="Q73" i="1"/>
  <c r="Q81" i="1"/>
  <c r="Q64" i="1" l="1"/>
  <c r="H94" i="1"/>
  <c r="G94" i="1"/>
  <c r="R80" i="1"/>
  <c r="R12" i="1"/>
  <c r="R51" i="1"/>
  <c r="Q12" i="1"/>
  <c r="R32" i="1"/>
  <c r="R60" i="1"/>
  <c r="R8" i="1"/>
  <c r="R35" i="1"/>
  <c r="Q51" i="1"/>
  <c r="Q80" i="1"/>
  <c r="Q60" i="1"/>
  <c r="Q8" i="1"/>
  <c r="Q35" i="1"/>
  <c r="Q32" i="1"/>
  <c r="P102" i="1" l="1"/>
  <c r="P101" i="1"/>
  <c r="L101" i="1"/>
  <c r="L102" i="1"/>
  <c r="K100" i="1"/>
  <c r="K98" i="1" s="1"/>
  <c r="Q102" i="1" l="1"/>
  <c r="R102" i="1"/>
  <c r="Q101" i="1"/>
  <c r="R101" i="1"/>
  <c r="L100" i="1"/>
  <c r="K97" i="1"/>
  <c r="K96" i="1" s="1"/>
  <c r="K103" i="1"/>
  <c r="P98" i="1"/>
  <c r="P100" i="1"/>
  <c r="Q100" i="1" s="1"/>
  <c r="L99" i="1"/>
  <c r="L98" i="1" s="1"/>
  <c r="P99" i="1"/>
  <c r="Q99" i="1" s="1"/>
  <c r="L103" i="1" l="1"/>
  <c r="L97" i="1"/>
  <c r="L96" i="1" s="1"/>
  <c r="P97" i="1"/>
  <c r="Q98" i="1"/>
  <c r="Q103" i="1" s="1"/>
  <c r="P103" i="1"/>
  <c r="Q97" i="1" l="1"/>
  <c r="P96" i="1"/>
  <c r="Q96" i="1" s="1"/>
</calcChain>
</file>

<file path=xl/sharedStrings.xml><?xml version="1.0" encoding="utf-8"?>
<sst xmlns="http://schemas.openxmlformats.org/spreadsheetml/2006/main" count="180" uniqueCount="163">
  <si>
    <t>№п/п</t>
  </si>
  <si>
    <t>КПКВК МБ</t>
  </si>
  <si>
    <t>Найменування показника</t>
  </si>
  <si>
    <t>Загальний фонд</t>
  </si>
  <si>
    <t>Спеціальний фонд</t>
  </si>
  <si>
    <t>Разом</t>
  </si>
  <si>
    <t>затверджено розписом на звітний рік з урахуванням внесених змін змін</t>
  </si>
  <si>
    <t>відхилення"+", "-"</t>
  </si>
  <si>
    <t>виконання у %</t>
  </si>
  <si>
    <t>7=6-5</t>
  </si>
  <si>
    <t>12=11-10</t>
  </si>
  <si>
    <t>17=16-15</t>
  </si>
  <si>
    <t>І. ВИДАТКИ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</si>
  <si>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</si>
  <si>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</si>
  <si>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</si>
  <si>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</si>
  <si>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</si>
  <si>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</si>
  <si>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</si>
  <si>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</si>
  <si>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</si>
  <si>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</si>
  <si>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</si>
  <si>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</si>
  <si>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</si>
  <si>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</si>
  <si>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</si>
  <si>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</si>
  <si>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</si>
  <si>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</si>
  <si>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</si>
  <si>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1140</t>
  </si>
  <si>
    <t>Інші програми, заклади та заходи у сфері освіти</t>
  </si>
  <si>
    <t>1150</t>
  </si>
  <si>
    <t>Забезпечення діяльності інклюзивно-ресурсних центрів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</si>
  <si>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</si>
  <si>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</si>
  <si>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</si>
  <si>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</si>
  <si>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Охорона здоров"я</t>
  </si>
  <si>
    <t>2020</t>
  </si>
  <si>
    <t>Спеціалізована стаціонарна медична допомога населенню</t>
  </si>
  <si>
    <t>2110</t>
  </si>
  <si>
    <t>Первинна медична допомога населенню</t>
  </si>
  <si>
    <t>Соціальний захист та соціальне забезпечення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</si>
  <si>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</si>
  <si>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</si>
  <si>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</si>
  <si>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</si>
  <si>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</si>
  <si>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</si>
  <si>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</si>
  <si>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</si>
  <si>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3110</t>
  </si>
  <si>
    <t>Заклади і заходи з питань дітей та їх соціального захисту</t>
  </si>
  <si>
    <t>3120</t>
  </si>
  <si>
    <t>Здійснення соціальної роботи з вразливими категоріями населення</t>
  </si>
  <si>
    <t>3130</t>
  </si>
  <si>
    <t>Реалізація державної політики у молодіжній сфері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</si>
  <si>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</si>
  <si>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</si>
  <si>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</si>
  <si>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</si>
  <si>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3170</t>
  </si>
  <si>
    <t>Забезпечення реалізації окремих програм для осіб з інвалідністю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</si>
  <si>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</si>
  <si>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</si>
  <si>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3190</t>
  </si>
  <si>
    <t>Соціальний захист ветеранів війни та праці</t>
  </si>
  <si>
    <t>Видатки, пов"язані з наданням підтримки внутрішньо переміщеним та/або евакуйованим особам у зв"язку із введенням воєнного стану</t>
  </si>
  <si>
    <t>3240</t>
  </si>
  <si>
    <t>Інші заклади та заходи</t>
  </si>
  <si>
    <t>Культура і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</si>
  <si>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</si>
  <si>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</si>
  <si>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</si>
  <si>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</si>
  <si>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</si>
  <si>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</si>
  <si>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</si>
  <si>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</si>
  <si>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Фізична культура і спорт</t>
  </si>
  <si>
    <t>5010</t>
  </si>
  <si>
    <t>Проведення спортивної роботи в регіоні</t>
  </si>
  <si>
    <t>Житлово-комунальне господарство</t>
  </si>
  <si>
    <t>Утримання та ефективна експлуатація обєктів житлово-комунального господарства</t>
  </si>
  <si>
    <t>6030</t>
  </si>
  <si>
    <t>Організація благоустрою населених пунктів</t>
  </si>
  <si>
    <t>Економічна діяльність</t>
  </si>
  <si>
    <t>7130</t>
  </si>
  <si>
    <t>Здійснення заходів із землеустрою</t>
  </si>
  <si>
    <t>7320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</si>
  <si>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</si>
  <si>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</si>
  <si>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</si>
  <si>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</si>
  <si>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7370</t>
  </si>
  <si>
    <t>Реалізація інших заходів щодо соціально-економічного розвитку територій</t>
  </si>
  <si>
    <t>Будівництво освітніх установ та закладів</t>
  </si>
  <si>
    <t>7410</t>
  </si>
  <si>
    <t>Забезпечення надання послуг з перевезення пасажирів автомобільним транспортом</t>
  </si>
  <si>
    <t>7460</t>
  </si>
  <si>
    <t>Утримання та розвиток автомобільних доріг та дорожньої інфраструктури</t>
  </si>
  <si>
    <t>7610</t>
  </si>
  <si>
    <t>Сприяння розвитку малого та середнього підприємництва</t>
  </si>
  <si>
    <t>7650</t>
  </si>
  <si>
    <t>Проведення експертної грошової оцінки земельної ділянки чи права на неї</t>
  </si>
  <si>
    <t>7670</t>
  </si>
  <si>
    <t>Внески до статутного капіталу суб`єктів господарювання</t>
  </si>
  <si>
    <t>7680</t>
  </si>
  <si>
    <t>Членські внески до асоціацій органів місцевого самоврядування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</si>
  <si>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</si>
  <si>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</si>
  <si>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</si>
  <si>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Заходи та роботи з територіальної оборони</t>
  </si>
  <si>
    <t>8340</t>
  </si>
  <si>
    <t>Природоохоронні заходи за рахунок цільових фондів</t>
  </si>
  <si>
    <t>8600</t>
  </si>
  <si>
    <t>Обслуговування місцевого боргу</t>
  </si>
  <si>
    <t>8710</t>
  </si>
  <si>
    <t>Резервний фонд місцевого бюджету</t>
  </si>
  <si>
    <t>Інші заходи за рахунок коштів резервного фонду місцевого бюджету</t>
  </si>
  <si>
    <t>9110</t>
  </si>
  <si>
    <t>Реверсна дотація</t>
  </si>
  <si>
    <t>Інші субвенції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</si>
  <si>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</si>
  <si>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</si>
  <si>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</si>
  <si>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ІІ. КРЕДИТУВАННЯ</t>
  </si>
  <si>
    <t>8000</t>
  </si>
  <si>
    <t>8800</t>
  </si>
  <si>
    <t>Кредитування</t>
  </si>
  <si>
    <t>Пільгові довгострокові кредити молодим сім"ям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</si>
  <si>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сім"ям та рдиноким молодим громадянам на будівництво/реконструкцію/придбання житла</t>
  </si>
  <si>
    <t>8840</t>
  </si>
  <si>
    <t>Довгострокові кредити громадянам на будівництво / реконструкцію / придбання житла та їх повернення</t>
  </si>
  <si>
    <t>8841</t>
  </si>
  <si>
    <t>Надання довгострокових кредитів громадянам на будівництво/реконструкцію/придбання житла</t>
  </si>
  <si>
    <t>8842</t>
  </si>
  <si>
    <t>Повернення довгострокових кредитів, наданих громадянам на будівництво/реконструкцію/придбання житла</t>
  </si>
  <si>
    <t>Заступник начальника-начальник бюджетного відділу</t>
  </si>
  <si>
    <t>Надія ПАНАСЮК</t>
  </si>
  <si>
    <t>Підтримка і розвиток спортивної інфраструктури</t>
  </si>
  <si>
    <t>Виконання заходів щодо облаштування безпечних умов у закладах загальної середньої освіти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</si>
  <si>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року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</si>
  <si>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</si>
  <si>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</si>
  <si>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</si>
  <si>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</si>
  <si>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 із задоволення потреб у забезпеченні безпечного освітнього середовища</t>
  </si>
  <si>
    <t>Виконання заходів, спрямованиї на забезпечення якісної, сучасної та доступної загальної середньої освіти "нова українська школа"</t>
  </si>
  <si>
    <t>Виконання заходів щодо облаштування безпечних умов у закладах, що надають загальну середню освіту (облаштування укритів), зокрема військових (військово-морських, військово-спортивних) ліцеях, ліцеях з посиленою військово-фізичною підготовкою</t>
  </si>
  <si>
    <t xml:space="preserve">Будівництво освітніх установ і закладів </t>
  </si>
  <si>
    <t>Розроблення схем планування та забудови території (містобудівної документації)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</si>
  <si>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</si>
  <si>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</si>
  <si>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Інша діяльність у сфері житлово-комунального господарства</t>
  </si>
  <si>
    <t>Запобігання та ліквідація забруднення навколишньогоприродного середовища</t>
  </si>
  <si>
    <t>Аналіз виконання бюджету Нетішинської міської територіальної громади по видатках та кредитуванню станом на 01.08.2025 року</t>
  </si>
  <si>
    <t>виконано станом на 01.08.2025</t>
  </si>
  <si>
    <t>затверджено на 01.08.2025</t>
  </si>
  <si>
    <t>Інші заходи, повязані з економічною діяльністю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</si>
</sst>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6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8"/>
      <color rgb="FF000000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charset val="204"/>
    </font>
    <font>
      <b/>
      <sz val="10"/>
      <color indexed="8"/>
      <name val="Times New Roman Cyr"/>
      <charset val="204"/>
    </font>
    <font>
      <sz val="8"/>
      <color indexed="8"/>
      <name val="Times New Roman Cyr"/>
      <charset val="204"/>
    </font>
    <font>
      <b/>
      <sz val="11"/>
      <color indexed="8"/>
      <name val="Times New Roman Cyr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6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3" fontId="9" fillId="2" borderId="2" xfId="0" applyNumberFormat="1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center" vertical="center" wrapText="1"/>
    </xf>
    <xf numFmtId="37" fontId="4" fillId="2" borderId="2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/>
    </xf>
    <xf numFmtId="0" fontId="7" fillId="0" borderId="2" xfId="0" applyFont="1" applyBorder="1"/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wrapText="1"/>
    </xf>
    <xf numFmtId="164" fontId="11" fillId="0" borderId="2" xfId="0" applyNumberFormat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0" fontId="7" fillId="0" borderId="11" xfId="0" applyFont="1" applyBorder="1"/>
    <xf numFmtId="0" fontId="5" fillId="0" borderId="1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164" fontId="12" fillId="0" borderId="2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164" fontId="10" fillId="0" borderId="2" xfId="0" applyNumberFormat="1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center"/>
    </xf>
    <xf numFmtId="164" fontId="13" fillId="0" borderId="2" xfId="0" applyNumberFormat="1" applyFont="1" applyFill="1" applyBorder="1" applyAlignment="1">
      <alignment horizontal="right"/>
    </xf>
    <xf numFmtId="0" fontId="7" fillId="0" borderId="0" xfId="0" applyFont="1"/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164" fontId="2" fillId="0" borderId="12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0" xfId="0" applyFont="1"/>
    <xf numFmtId="0" fontId="2" fillId="0" borderId="2" xfId="0" applyFont="1" applyBorder="1" applyAlignment="1">
      <alignment horizontal="left"/>
    </xf>
    <xf numFmtId="0" fontId="10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right"/>
    </xf>
    <xf numFmtId="0" fontId="10" fillId="0" borderId="18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6" fillId="0" borderId="15" xfId="0" applyFont="1" applyFill="1" applyBorder="1" applyAlignment="1">
      <alignment horizontal="center" wrapText="1"/>
    </xf>
    <xf numFmtId="164" fontId="10" fillId="0" borderId="16" xfId="0" applyNumberFormat="1" applyFont="1" applyBorder="1"/>
    <xf numFmtId="164" fontId="10" fillId="0" borderId="14" xfId="0" applyNumberFormat="1" applyFont="1" applyBorder="1"/>
    <xf numFmtId="164" fontId="10" fillId="0" borderId="14" xfId="0" applyNumberFormat="1" applyFont="1" applyBorder="1" applyAlignment="1">
      <alignment horizontal="right"/>
    </xf>
    <xf numFmtId="0" fontId="2" fillId="0" borderId="0" xfId="0" applyFont="1" applyAlignment="1"/>
    <xf numFmtId="37" fontId="4" fillId="2" borderId="2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right" wrapText="1"/>
    </xf>
    <xf numFmtId="164" fontId="10" fillId="0" borderId="2" xfId="0" applyNumberFormat="1" applyFont="1" applyBorder="1" applyAlignment="1"/>
    <xf numFmtId="164" fontId="2" fillId="0" borderId="2" xfId="0" applyNumberFormat="1" applyFont="1" applyBorder="1" applyAlignment="1"/>
    <xf numFmtId="0" fontId="0" fillId="0" borderId="0" xfId="0" applyAlignment="1"/>
    <xf numFmtId="0" fontId="5" fillId="0" borderId="2" xfId="0" applyFont="1" applyBorder="1"/>
    <xf numFmtId="0" fontId="14" fillId="0" borderId="2" xfId="0" applyFont="1" applyFill="1" applyBorder="1" applyAlignment="1">
      <alignment horizontal="center" wrapText="1"/>
    </xf>
    <xf numFmtId="164" fontId="0" fillId="0" borderId="0" xfId="0" applyNumberFormat="1"/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/>
    <xf numFmtId="164" fontId="10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4" fontId="3" fillId="2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tabSelected="1" topLeftCell="A97" workbookViewId="0">
      <selection activeCell="W5" sqref="W5"/>
    </sheetView>
  </sheetViews>
  <sheetFormatPr defaultRowHeight="15" x14ac:dyDescent="0.25"/>
  <cols>
    <col min="1" max="1" width="3.42578125" customWidth="1"/>
    <col min="2" max="2" width="5.140625" customWidth="1"/>
    <col min="3" max="3" width="31.85546875" customWidth="1"/>
    <col min="5" max="5" width="8.5703125" customWidth="1"/>
    <col min="7" max="7" width="9.5703125" customWidth="1"/>
    <col min="8" max="8" width="6.5703125" customWidth="1"/>
    <col min="9" max="9" width="8.5703125" customWidth="1"/>
    <col min="10" max="10" width="9" customWidth="1"/>
    <col min="11" max="11" width="8.28515625" customWidth="1"/>
    <col min="12" max="12" width="8.140625" customWidth="1"/>
    <col min="13" max="13" width="6.5703125" customWidth="1"/>
    <col min="15" max="16" width="9.5703125" customWidth="1"/>
    <col min="17" max="17" width="9.7109375" customWidth="1"/>
    <col min="18" max="18" width="7.28515625" style="74" customWidth="1"/>
  </cols>
  <sheetData>
    <row r="1" spans="1:20" ht="16.5" x14ac:dyDescent="0.25">
      <c r="A1" s="84" t="s">
        <v>159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69"/>
    </row>
    <row r="2" spans="1:20" x14ac:dyDescent="0.25">
      <c r="B2" s="2"/>
      <c r="D2" s="3"/>
      <c r="E2" s="3"/>
      <c r="I2" s="3"/>
      <c r="J2" s="3"/>
      <c r="K2" s="3"/>
      <c r="N2" s="1"/>
      <c r="O2" s="1"/>
      <c r="P2" s="1"/>
      <c r="Q2" s="1"/>
      <c r="R2" s="69"/>
    </row>
    <row r="3" spans="1:20" x14ac:dyDescent="0.25">
      <c r="A3" s="85" t="s">
        <v>0</v>
      </c>
      <c r="B3" s="85" t="s">
        <v>1</v>
      </c>
      <c r="C3" s="87" t="s">
        <v>2</v>
      </c>
      <c r="D3" s="89" t="s">
        <v>3</v>
      </c>
      <c r="E3" s="90"/>
      <c r="F3" s="90"/>
      <c r="G3" s="90"/>
      <c r="H3" s="90"/>
      <c r="I3" s="91" t="s">
        <v>4</v>
      </c>
      <c r="J3" s="91"/>
      <c r="K3" s="91"/>
      <c r="L3" s="91"/>
      <c r="M3" s="92"/>
      <c r="N3" s="93" t="s">
        <v>5</v>
      </c>
      <c r="O3" s="91"/>
      <c r="P3" s="91"/>
      <c r="Q3" s="91"/>
      <c r="R3" s="92"/>
      <c r="S3" s="4"/>
    </row>
    <row r="4" spans="1:20" x14ac:dyDescent="0.25">
      <c r="A4" s="86"/>
      <c r="B4" s="86"/>
      <c r="C4" s="88"/>
      <c r="D4" s="94" t="s">
        <v>6</v>
      </c>
      <c r="E4" s="96" t="s">
        <v>161</v>
      </c>
      <c r="F4" s="98" t="s">
        <v>160</v>
      </c>
      <c r="G4" s="98" t="s">
        <v>7</v>
      </c>
      <c r="H4" s="98" t="s">
        <v>8</v>
      </c>
      <c r="I4" s="103" t="s">
        <v>6</v>
      </c>
      <c r="J4" s="103" t="s">
        <v>161</v>
      </c>
      <c r="K4" s="96" t="s">
        <v>160</v>
      </c>
      <c r="L4" s="100" t="s">
        <v>7</v>
      </c>
      <c r="M4" s="98" t="s">
        <v>8</v>
      </c>
      <c r="N4" s="100" t="s">
        <v>6</v>
      </c>
      <c r="O4" s="100" t="s">
        <v>161</v>
      </c>
      <c r="P4" s="100" t="s">
        <v>160</v>
      </c>
      <c r="Q4" s="100" t="s">
        <v>7</v>
      </c>
      <c r="R4" s="101" t="s">
        <v>8</v>
      </c>
      <c r="S4" s="4"/>
    </row>
    <row r="5" spans="1:20" ht="87.75" customHeight="1" x14ac:dyDescent="0.25">
      <c r="A5" s="86"/>
      <c r="B5" s="86"/>
      <c r="C5" s="88"/>
      <c r="D5" s="95"/>
      <c r="E5" s="97"/>
      <c r="F5" s="99"/>
      <c r="G5" s="98"/>
      <c r="H5" s="98"/>
      <c r="I5" s="96"/>
      <c r="J5" s="96"/>
      <c r="K5" s="97"/>
      <c r="L5" s="98"/>
      <c r="M5" s="98"/>
      <c r="N5" s="98"/>
      <c r="O5" s="98"/>
      <c r="P5" s="98"/>
      <c r="Q5" s="98"/>
      <c r="R5" s="102"/>
      <c r="S5" s="4"/>
    </row>
    <row r="6" spans="1:20" ht="19.5" customHeight="1" x14ac:dyDescent="0.25">
      <c r="A6" s="5">
        <v>1</v>
      </c>
      <c r="B6" s="5">
        <v>2</v>
      </c>
      <c r="C6" s="6">
        <v>3</v>
      </c>
      <c r="D6" s="7">
        <v>4</v>
      </c>
      <c r="E6" s="7">
        <v>5</v>
      </c>
      <c r="F6" s="8">
        <v>6</v>
      </c>
      <c r="G6" s="8" t="s">
        <v>9</v>
      </c>
      <c r="H6" s="8">
        <v>8</v>
      </c>
      <c r="I6" s="7">
        <v>9</v>
      </c>
      <c r="J6" s="7">
        <v>10</v>
      </c>
      <c r="K6" s="7">
        <v>11</v>
      </c>
      <c r="L6" s="8" t="s">
        <v>10</v>
      </c>
      <c r="M6" s="9">
        <v>13</v>
      </c>
      <c r="N6" s="8">
        <v>14</v>
      </c>
      <c r="O6" s="10">
        <v>15</v>
      </c>
      <c r="P6" s="10">
        <v>16</v>
      </c>
      <c r="Q6" s="10" t="s">
        <v>11</v>
      </c>
      <c r="R6" s="9">
        <v>18</v>
      </c>
      <c r="S6" s="11"/>
    </row>
    <row r="7" spans="1:20" ht="15.75" x14ac:dyDescent="0.25">
      <c r="A7" s="12"/>
      <c r="B7" s="12"/>
      <c r="C7" s="13" t="s">
        <v>12</v>
      </c>
      <c r="D7" s="14"/>
      <c r="E7" s="14"/>
      <c r="F7" s="15"/>
      <c r="G7" s="15"/>
      <c r="H7" s="15"/>
      <c r="I7" s="14"/>
      <c r="J7" s="14"/>
      <c r="K7" s="14"/>
      <c r="L7" s="15"/>
      <c r="M7" s="16"/>
      <c r="N7" s="15"/>
      <c r="O7" s="17"/>
      <c r="P7" s="17"/>
      <c r="Q7" s="17"/>
      <c r="R7" s="70"/>
      <c r="S7" s="11"/>
    </row>
    <row r="8" spans="1:20" x14ac:dyDescent="0.25">
      <c r="A8" s="12">
        <v>1</v>
      </c>
      <c r="B8" s="18" t="s">
        <v>13</v>
      </c>
      <c r="C8" s="19" t="s">
        <v>14</v>
      </c>
      <c r="D8" s="20">
        <f>SUM(D9:D11)</f>
        <v>91430.228000000003</v>
      </c>
      <c r="E8" s="20">
        <f t="shared" ref="E8:Q8" si="0">SUM(E9:E11)</f>
        <v>58459.938000000002</v>
      </c>
      <c r="F8" s="21">
        <f>SUM(F9:F11)</f>
        <v>52981.2</v>
      </c>
      <c r="G8" s="20">
        <f t="shared" si="0"/>
        <v>-5478.7379999999994</v>
      </c>
      <c r="H8" s="20">
        <f>SUM(F8/E8)*100</f>
        <v>90.628217908818158</v>
      </c>
      <c r="I8" s="20">
        <f t="shared" ref="I8:J8" si="1">SUM(I9:I11)</f>
        <v>447.12199999999996</v>
      </c>
      <c r="J8" s="20">
        <f t="shared" si="1"/>
        <v>447.12199999999996</v>
      </c>
      <c r="K8" s="21">
        <f t="shared" si="0"/>
        <v>429.1</v>
      </c>
      <c r="L8" s="20">
        <f t="shared" si="0"/>
        <v>-18.021999999999963</v>
      </c>
      <c r="M8" s="22">
        <f t="shared" ref="M8:M10" si="2">SUM(K8/J8)*100</f>
        <v>95.969332754818609</v>
      </c>
      <c r="N8" s="20">
        <f t="shared" ref="N8:O8" si="3">SUM(N9:N11)</f>
        <v>91877.349999999991</v>
      </c>
      <c r="O8" s="20">
        <f t="shared" si="3"/>
        <v>58907.06</v>
      </c>
      <c r="P8" s="20">
        <f t="shared" si="0"/>
        <v>53410.3</v>
      </c>
      <c r="Q8" s="20">
        <f t="shared" si="0"/>
        <v>-5496.76</v>
      </c>
      <c r="R8" s="71">
        <f>SUM(P8/O8)*100</f>
        <v>90.668758549484579</v>
      </c>
      <c r="S8" s="11"/>
    </row>
    <row r="9" spans="1:20" ht="76.5" customHeight="1" x14ac:dyDescent="0.25">
      <c r="A9" s="23"/>
      <c r="B9" s="24" t="s">
        <v>15</v>
      </c>
      <c r="C9" s="25" t="s">
        <v>16</v>
      </c>
      <c r="D9" s="26">
        <v>49976.13</v>
      </c>
      <c r="E9" s="26">
        <v>31373.376</v>
      </c>
      <c r="F9" s="26">
        <v>28244.400000000001</v>
      </c>
      <c r="G9" s="26">
        <f>F9-E9</f>
        <v>-3128.9759999999987</v>
      </c>
      <c r="H9" s="26">
        <f>SUM(F9/E9)*100</f>
        <v>90.026651897455992</v>
      </c>
      <c r="I9" s="26">
        <v>162.49600000000001</v>
      </c>
      <c r="J9" s="26">
        <v>162.49600000000001</v>
      </c>
      <c r="K9" s="26">
        <v>132</v>
      </c>
      <c r="L9" s="26">
        <f t="shared" ref="L9:L10" si="4">K9-J9</f>
        <v>-30.496000000000009</v>
      </c>
      <c r="M9" s="27">
        <f t="shared" si="2"/>
        <v>81.232768806616775</v>
      </c>
      <c r="N9" s="28">
        <f>D9+I9</f>
        <v>50138.625999999997</v>
      </c>
      <c r="O9" s="28">
        <f t="shared" ref="O9:P24" si="5">E9+J9</f>
        <v>31535.871999999999</v>
      </c>
      <c r="P9" s="28">
        <f t="shared" si="5"/>
        <v>28376.400000000001</v>
      </c>
      <c r="Q9" s="28">
        <f>P9-O9</f>
        <v>-3159.4719999999979</v>
      </c>
      <c r="R9" s="38">
        <f>SUM(P9/O9)*100</f>
        <v>89.981339345872541</v>
      </c>
    </row>
    <row r="10" spans="1:20" ht="39" customHeight="1" x14ac:dyDescent="0.25">
      <c r="A10" s="29"/>
      <c r="B10" s="24" t="s">
        <v>17</v>
      </c>
      <c r="C10" s="25" t="s">
        <v>18</v>
      </c>
      <c r="D10" s="26">
        <v>40795.07</v>
      </c>
      <c r="E10" s="26">
        <v>26674.034</v>
      </c>
      <c r="F10" s="26">
        <v>24386.799999999999</v>
      </c>
      <c r="G10" s="26">
        <f>F10-E10</f>
        <v>-2287.2340000000004</v>
      </c>
      <c r="H10" s="26">
        <f t="shared" ref="H10:H94" si="6">SUM(F10/E10)*100</f>
        <v>91.425241491406965</v>
      </c>
      <c r="I10" s="26">
        <v>284.62599999999998</v>
      </c>
      <c r="J10" s="26">
        <v>284.62599999999998</v>
      </c>
      <c r="K10" s="26">
        <v>297.10000000000002</v>
      </c>
      <c r="L10" s="26">
        <f t="shared" si="4"/>
        <v>12.474000000000046</v>
      </c>
      <c r="M10" s="27">
        <f t="shared" si="2"/>
        <v>104.38259329787161</v>
      </c>
      <c r="N10" s="28">
        <f t="shared" ref="N10:N11" si="7">D10+I10</f>
        <v>41079.695999999996</v>
      </c>
      <c r="O10" s="28">
        <f t="shared" si="5"/>
        <v>26958.66</v>
      </c>
      <c r="P10" s="28">
        <f t="shared" si="5"/>
        <v>24683.899999999998</v>
      </c>
      <c r="Q10" s="28">
        <f t="shared" ref="Q10:Q86" si="8">P10-O10</f>
        <v>-2274.760000000002</v>
      </c>
      <c r="R10" s="38">
        <f>SUM(P10/O10)*100</f>
        <v>91.562043514032226</v>
      </c>
    </row>
    <row r="11" spans="1:20" ht="26.25" x14ac:dyDescent="0.25">
      <c r="A11" s="29"/>
      <c r="B11" s="24" t="s">
        <v>19</v>
      </c>
      <c r="C11" s="25" t="s">
        <v>20</v>
      </c>
      <c r="D11" s="26">
        <v>659.02800000000002</v>
      </c>
      <c r="E11" s="26">
        <v>412.52800000000002</v>
      </c>
      <c r="F11" s="26">
        <v>350</v>
      </c>
      <c r="G11" s="26">
        <f>F11-E11</f>
        <v>-62.52800000000002</v>
      </c>
      <c r="H11" s="26">
        <f t="shared" si="6"/>
        <v>84.842725827095364</v>
      </c>
      <c r="I11" s="26">
        <v>0</v>
      </c>
      <c r="J11" s="26">
        <v>0</v>
      </c>
      <c r="K11" s="26">
        <v>0</v>
      </c>
      <c r="L11" s="26">
        <f>K11-J11</f>
        <v>0</v>
      </c>
      <c r="M11" s="27">
        <v>0</v>
      </c>
      <c r="N11" s="28">
        <f t="shared" si="7"/>
        <v>659.02800000000002</v>
      </c>
      <c r="O11" s="28">
        <f t="shared" si="5"/>
        <v>412.52800000000002</v>
      </c>
      <c r="P11" s="28">
        <f t="shared" si="5"/>
        <v>350</v>
      </c>
      <c r="Q11" s="28">
        <f t="shared" si="8"/>
        <v>-62.52800000000002</v>
      </c>
      <c r="R11" s="38">
        <f>SUM(P11/O11)*100</f>
        <v>84.842725827095364</v>
      </c>
    </row>
    <row r="12" spans="1:20" x14ac:dyDescent="0.25">
      <c r="A12" s="30">
        <v>2</v>
      </c>
      <c r="B12" s="31"/>
      <c r="C12" s="32" t="s">
        <v>21</v>
      </c>
      <c r="D12" s="33">
        <f>SUM(D13:D31)</f>
        <v>309822.516</v>
      </c>
      <c r="E12" s="33">
        <f>SUM(E13:E31)</f>
        <v>220836.72600000002</v>
      </c>
      <c r="F12" s="33">
        <f>SUM(F13:F31)</f>
        <v>201359.19999999998</v>
      </c>
      <c r="G12" s="33">
        <f>SUM(G13:G31)</f>
        <v>-19444.008999999998</v>
      </c>
      <c r="H12" s="26">
        <f t="shared" si="6"/>
        <v>91.180123726340682</v>
      </c>
      <c r="I12" s="33">
        <f>SUM(I13:I31)</f>
        <v>58861.047000000006</v>
      </c>
      <c r="J12" s="33">
        <f>SUM(J13:J31)</f>
        <v>54638.950000000012</v>
      </c>
      <c r="K12" s="33">
        <f>SUM(K13:K30)</f>
        <v>19878.8</v>
      </c>
      <c r="L12" s="33">
        <f t="shared" ref="L12:Q12" si="9">SUM(L13:L24)</f>
        <v>-17135.749</v>
      </c>
      <c r="M12" s="22">
        <f t="shared" ref="M12:M33" si="10">SUM(K12/J12)*100</f>
        <v>36.382104707356191</v>
      </c>
      <c r="N12" s="33">
        <f>SUM(N13:N31)</f>
        <v>368683.56300000002</v>
      </c>
      <c r="O12" s="33">
        <f>SUM(O13:O31)</f>
        <v>273749.72599999997</v>
      </c>
      <c r="P12" s="33">
        <f>SUM(P13:P31)</f>
        <v>221238</v>
      </c>
      <c r="Q12" s="33">
        <f t="shared" si="9"/>
        <v>-36021.957999999984</v>
      </c>
      <c r="R12" s="71">
        <f>SUM(P12/O12)*100</f>
        <v>80.81761513799654</v>
      </c>
      <c r="S12" s="36"/>
    </row>
    <row r="13" spans="1:20" x14ac:dyDescent="0.25">
      <c r="A13" s="29"/>
      <c r="B13" s="24" t="s">
        <v>22</v>
      </c>
      <c r="C13" s="25" t="s">
        <v>23</v>
      </c>
      <c r="D13" s="26">
        <v>131304.818</v>
      </c>
      <c r="E13" s="26">
        <v>81303.534</v>
      </c>
      <c r="F13" s="26">
        <v>73316.3</v>
      </c>
      <c r="G13" s="26">
        <f t="shared" ref="G13:G20" si="11">F13-E13</f>
        <v>-7987.2339999999967</v>
      </c>
      <c r="H13" s="26">
        <f t="shared" si="6"/>
        <v>90.176030970560277</v>
      </c>
      <c r="I13" s="26">
        <v>6232.0169999999998</v>
      </c>
      <c r="J13" s="26">
        <v>6207.018</v>
      </c>
      <c r="K13" s="26">
        <v>2616.6</v>
      </c>
      <c r="L13" s="26">
        <f t="shared" ref="L13:L31" si="12">K13-J13</f>
        <v>-3590.4180000000001</v>
      </c>
      <c r="M13" s="27">
        <f t="shared" si="10"/>
        <v>42.155508490550531</v>
      </c>
      <c r="N13" s="28">
        <f t="shared" ref="N13:O31" si="13">D13+I13</f>
        <v>137536.83499999999</v>
      </c>
      <c r="O13" s="28">
        <f t="shared" si="5"/>
        <v>87510.551999999996</v>
      </c>
      <c r="P13" s="28">
        <f t="shared" ref="P13:P21" si="14">F13+K13</f>
        <v>75932.900000000009</v>
      </c>
      <c r="Q13" s="28">
        <f t="shared" si="8"/>
        <v>-11577.651999999987</v>
      </c>
      <c r="R13" s="38">
        <f t="shared" ref="R13:R21" si="15">SUM(P13/O13)*100</f>
        <v>86.769993177508482</v>
      </c>
    </row>
    <row r="14" spans="1:20" ht="26.25" customHeight="1" x14ac:dyDescent="0.25">
      <c r="A14" s="29"/>
      <c r="B14" s="24" t="s">
        <v>24</v>
      </c>
      <c r="C14" s="25" t="s">
        <v>25</v>
      </c>
      <c r="D14" s="26">
        <v>69734.379000000001</v>
      </c>
      <c r="E14" s="26">
        <v>49602.400000000001</v>
      </c>
      <c r="F14" s="26">
        <v>44193</v>
      </c>
      <c r="G14" s="26">
        <f t="shared" si="11"/>
        <v>-5409.4000000000015</v>
      </c>
      <c r="H14" s="26">
        <f t="shared" si="6"/>
        <v>89.094479299388738</v>
      </c>
      <c r="I14" s="26">
        <v>23486.633000000002</v>
      </c>
      <c r="J14" s="26">
        <v>23486.633000000002</v>
      </c>
      <c r="K14" s="26">
        <v>13775.5</v>
      </c>
      <c r="L14" s="26">
        <f t="shared" si="12"/>
        <v>-9711.1330000000016</v>
      </c>
      <c r="M14" s="27">
        <f t="shared" si="10"/>
        <v>58.65251098358798</v>
      </c>
      <c r="N14" s="28">
        <f t="shared" si="13"/>
        <v>93221.012000000002</v>
      </c>
      <c r="O14" s="28">
        <f t="shared" si="5"/>
        <v>73089.032999999996</v>
      </c>
      <c r="P14" s="28">
        <f t="shared" si="14"/>
        <v>57968.5</v>
      </c>
      <c r="Q14" s="28">
        <f t="shared" si="8"/>
        <v>-15120.532999999996</v>
      </c>
      <c r="R14" s="38">
        <f t="shared" si="15"/>
        <v>79.312172593663959</v>
      </c>
    </row>
    <row r="15" spans="1:20" ht="29.25" customHeight="1" x14ac:dyDescent="0.25">
      <c r="A15" s="29"/>
      <c r="B15" s="24" t="s">
        <v>26</v>
      </c>
      <c r="C15" s="25" t="s">
        <v>27</v>
      </c>
      <c r="D15" s="26">
        <v>59663.5</v>
      </c>
      <c r="E15" s="26">
        <v>56537.1</v>
      </c>
      <c r="F15" s="26">
        <v>53853.8</v>
      </c>
      <c r="G15" s="26">
        <f t="shared" si="11"/>
        <v>-2683.2999999999956</v>
      </c>
      <c r="H15" s="26">
        <f t="shared" si="6"/>
        <v>95.25391291735869</v>
      </c>
      <c r="I15" s="26">
        <v>0</v>
      </c>
      <c r="J15" s="26">
        <v>0</v>
      </c>
      <c r="K15" s="26"/>
      <c r="L15" s="26">
        <f t="shared" si="12"/>
        <v>0</v>
      </c>
      <c r="M15" s="22">
        <v>0</v>
      </c>
      <c r="N15" s="28">
        <f t="shared" si="13"/>
        <v>59663.5</v>
      </c>
      <c r="O15" s="28">
        <f t="shared" si="5"/>
        <v>56537.1</v>
      </c>
      <c r="P15" s="28">
        <f t="shared" si="14"/>
        <v>53853.8</v>
      </c>
      <c r="Q15" s="28">
        <f t="shared" si="8"/>
        <v>-2683.2999999999956</v>
      </c>
      <c r="R15" s="38">
        <f t="shared" si="15"/>
        <v>95.25391291735869</v>
      </c>
    </row>
    <row r="16" spans="1:20" ht="40.5" customHeight="1" x14ac:dyDescent="0.25">
      <c r="A16" s="29"/>
      <c r="B16" s="24" t="s">
        <v>28</v>
      </c>
      <c r="C16" s="25" t="s">
        <v>29</v>
      </c>
      <c r="D16" s="26">
        <v>15645.269</v>
      </c>
      <c r="E16" s="26">
        <v>9781.473</v>
      </c>
      <c r="F16" s="26">
        <v>9059.1</v>
      </c>
      <c r="G16" s="26">
        <f t="shared" si="11"/>
        <v>-722.37299999999959</v>
      </c>
      <c r="H16" s="26">
        <f t="shared" si="6"/>
        <v>92.614885304084567</v>
      </c>
      <c r="I16" s="26">
        <v>745.58500000000004</v>
      </c>
      <c r="J16" s="26">
        <v>745.58500000000004</v>
      </c>
      <c r="K16" s="26">
        <v>396.8</v>
      </c>
      <c r="L16" s="26">
        <f t="shared" si="12"/>
        <v>-348.78500000000003</v>
      </c>
      <c r="M16" s="27">
        <f t="shared" ref="M16" si="16">SUM(K16/J16)*100</f>
        <v>53.219954800592816</v>
      </c>
      <c r="N16" s="28">
        <f t="shared" si="13"/>
        <v>16390.853999999999</v>
      </c>
      <c r="O16" s="28">
        <f t="shared" si="5"/>
        <v>10527.058000000001</v>
      </c>
      <c r="P16" s="28">
        <f t="shared" si="14"/>
        <v>9455.9</v>
      </c>
      <c r="Q16" s="28">
        <f t="shared" si="8"/>
        <v>-1071.1580000000013</v>
      </c>
      <c r="R16" s="38">
        <f t="shared" si="15"/>
        <v>89.824716459242453</v>
      </c>
      <c r="T16" s="77"/>
    </row>
    <row r="17" spans="1:19" ht="26.25" x14ac:dyDescent="0.25">
      <c r="A17" s="29"/>
      <c r="B17" s="24" t="s">
        <v>30</v>
      </c>
      <c r="C17" s="25" t="s">
        <v>31</v>
      </c>
      <c r="D17" s="26">
        <v>18864.376</v>
      </c>
      <c r="E17" s="26">
        <v>12021.936</v>
      </c>
      <c r="F17" s="26">
        <v>11282.4</v>
      </c>
      <c r="G17" s="26">
        <f t="shared" si="11"/>
        <v>-739.53600000000006</v>
      </c>
      <c r="H17" s="26">
        <f t="shared" si="6"/>
        <v>93.848445042462387</v>
      </c>
      <c r="I17" s="26">
        <v>1465.29</v>
      </c>
      <c r="J17" s="26">
        <v>1465.29</v>
      </c>
      <c r="K17" s="26">
        <v>636.9</v>
      </c>
      <c r="L17" s="26">
        <f t="shared" si="12"/>
        <v>-828.39</v>
      </c>
      <c r="M17" s="27">
        <f t="shared" si="10"/>
        <v>43.465798579120857</v>
      </c>
      <c r="N17" s="28">
        <f t="shared" si="13"/>
        <v>20329.666000000001</v>
      </c>
      <c r="O17" s="28">
        <f t="shared" si="5"/>
        <v>13487.225999999999</v>
      </c>
      <c r="P17" s="28">
        <f t="shared" si="14"/>
        <v>11919.3</v>
      </c>
      <c r="Q17" s="28">
        <f t="shared" si="8"/>
        <v>-1567.9259999999995</v>
      </c>
      <c r="R17" s="38">
        <f t="shared" si="15"/>
        <v>88.374733247592957</v>
      </c>
    </row>
    <row r="18" spans="1:19" ht="26.25" x14ac:dyDescent="0.25">
      <c r="A18" s="29"/>
      <c r="B18" s="24" t="s">
        <v>32</v>
      </c>
      <c r="C18" s="25" t="s">
        <v>33</v>
      </c>
      <c r="D18" s="26">
        <f>5300.373+151.29</f>
        <v>5451.6629999999996</v>
      </c>
      <c r="E18" s="26">
        <f>3634.762+144.05</f>
        <v>3778.8120000000004</v>
      </c>
      <c r="F18" s="26">
        <v>3151</v>
      </c>
      <c r="G18" s="26">
        <f t="shared" si="11"/>
        <v>-627.81200000000035</v>
      </c>
      <c r="H18" s="26">
        <f t="shared" si="6"/>
        <v>83.385995386909954</v>
      </c>
      <c r="I18" s="26">
        <v>2531.335</v>
      </c>
      <c r="J18" s="26">
        <v>2531.335</v>
      </c>
      <c r="K18" s="26">
        <v>67.5</v>
      </c>
      <c r="L18" s="26">
        <f t="shared" si="12"/>
        <v>-2463.835</v>
      </c>
      <c r="M18" s="27">
        <f t="shared" si="10"/>
        <v>2.666577122348484</v>
      </c>
      <c r="N18" s="28">
        <f t="shared" si="13"/>
        <v>7982.9979999999996</v>
      </c>
      <c r="O18" s="28">
        <f t="shared" si="5"/>
        <v>6310.1470000000008</v>
      </c>
      <c r="P18" s="28">
        <f t="shared" si="14"/>
        <v>3218.5</v>
      </c>
      <c r="Q18" s="28">
        <f t="shared" si="8"/>
        <v>-3091.6470000000008</v>
      </c>
      <c r="R18" s="38">
        <f t="shared" si="15"/>
        <v>51.005150910113493</v>
      </c>
    </row>
    <row r="19" spans="1:19" ht="26.25" x14ac:dyDescent="0.25">
      <c r="A19" s="29"/>
      <c r="B19" s="24" t="s">
        <v>34</v>
      </c>
      <c r="C19" s="25" t="s">
        <v>35</v>
      </c>
      <c r="D19" s="26">
        <f>1320.106+1144.8</f>
        <v>2464.9059999999999</v>
      </c>
      <c r="E19" s="26">
        <f>1032.279+1016.3</f>
        <v>2048.5789999999997</v>
      </c>
      <c r="F19" s="26">
        <v>1399.4</v>
      </c>
      <c r="G19" s="26">
        <f t="shared" si="11"/>
        <v>-649.17899999999963</v>
      </c>
      <c r="H19" s="26">
        <f t="shared" si="6"/>
        <v>68.310765657560694</v>
      </c>
      <c r="I19" s="26">
        <v>179.68799999999999</v>
      </c>
      <c r="J19" s="26">
        <v>179.68799999999999</v>
      </c>
      <c r="K19" s="26"/>
      <c r="L19" s="26">
        <f t="shared" si="12"/>
        <v>-179.68799999999999</v>
      </c>
      <c r="M19" s="27">
        <v>0</v>
      </c>
      <c r="N19" s="28">
        <f t="shared" si="13"/>
        <v>2644.5940000000001</v>
      </c>
      <c r="O19" s="28">
        <f t="shared" si="5"/>
        <v>2228.2669999999998</v>
      </c>
      <c r="P19" s="28">
        <f t="shared" si="14"/>
        <v>1399.4</v>
      </c>
      <c r="Q19" s="28">
        <f t="shared" si="8"/>
        <v>-828.86699999999973</v>
      </c>
      <c r="R19" s="38">
        <f t="shared" si="15"/>
        <v>62.802168680862756</v>
      </c>
    </row>
    <row r="20" spans="1:19" ht="39" x14ac:dyDescent="0.25">
      <c r="A20" s="29"/>
      <c r="B20" s="24" t="s">
        <v>36</v>
      </c>
      <c r="C20" s="25" t="s">
        <v>37</v>
      </c>
      <c r="D20" s="26">
        <v>1676.788</v>
      </c>
      <c r="E20" s="26">
        <v>988.97500000000002</v>
      </c>
      <c r="F20" s="26">
        <v>921.6</v>
      </c>
      <c r="G20" s="26">
        <f t="shared" si="11"/>
        <v>-67.375</v>
      </c>
      <c r="H20" s="26">
        <f t="shared" si="6"/>
        <v>93.187390985616432</v>
      </c>
      <c r="I20" s="26">
        <v>24</v>
      </c>
      <c r="J20" s="26">
        <v>24</v>
      </c>
      <c r="K20" s="26">
        <v>10.5</v>
      </c>
      <c r="L20" s="26">
        <f t="shared" si="12"/>
        <v>-13.5</v>
      </c>
      <c r="M20" s="27">
        <v>0</v>
      </c>
      <c r="N20" s="28">
        <f t="shared" si="13"/>
        <v>1700.788</v>
      </c>
      <c r="O20" s="28">
        <f t="shared" si="5"/>
        <v>1012.975</v>
      </c>
      <c r="P20" s="28">
        <f t="shared" si="14"/>
        <v>932.1</v>
      </c>
      <c r="Q20" s="28">
        <f t="shared" si="8"/>
        <v>-80.875</v>
      </c>
      <c r="R20" s="38">
        <f t="shared" si="15"/>
        <v>92.01609121646635</v>
      </c>
    </row>
    <row r="21" spans="1:19" ht="66.75" hidden="1" customHeight="1" x14ac:dyDescent="0.25">
      <c r="A21" s="29"/>
      <c r="B21" s="24" t="s">
        <v>38</v>
      </c>
      <c r="C21" s="25" t="s">
        <v>39</v>
      </c>
      <c r="D21" s="26"/>
      <c r="E21" s="26"/>
      <c r="F21" s="26"/>
      <c r="G21" s="26"/>
      <c r="H21" s="26" t="e">
        <f t="shared" si="6"/>
        <v>#DIV/0!</v>
      </c>
      <c r="I21" s="26"/>
      <c r="J21" s="26"/>
      <c r="K21" s="26"/>
      <c r="L21" s="26">
        <f t="shared" si="12"/>
        <v>0</v>
      </c>
      <c r="M21" s="27" t="e">
        <f t="shared" si="10"/>
        <v>#DIV/0!</v>
      </c>
      <c r="N21" s="28">
        <f t="shared" si="13"/>
        <v>0</v>
      </c>
      <c r="O21" s="28">
        <f t="shared" si="5"/>
        <v>0</v>
      </c>
      <c r="P21" s="28">
        <f t="shared" si="14"/>
        <v>0</v>
      </c>
      <c r="Q21" s="28">
        <f t="shared" si="8"/>
        <v>0</v>
      </c>
      <c r="R21" s="38" t="e">
        <f t="shared" si="15"/>
        <v>#DIV/0!</v>
      </c>
    </row>
    <row r="22" spans="1:19" ht="77.25" hidden="1" x14ac:dyDescent="0.25">
      <c r="A22" s="29"/>
      <c r="B22" s="24">
        <v>1210</v>
      </c>
      <c r="C22" s="25" t="s">
        <v>145</v>
      </c>
      <c r="D22" s="26"/>
      <c r="E22" s="26"/>
      <c r="F22" s="26"/>
      <c r="G22" s="26"/>
      <c r="H22" s="26" t="e">
        <f t="shared" si="6"/>
        <v>#DIV/0!</v>
      </c>
      <c r="I22" s="26"/>
      <c r="J22" s="26"/>
      <c r="K22" s="26"/>
      <c r="L22" s="26">
        <f t="shared" si="12"/>
        <v>0</v>
      </c>
      <c r="M22" s="27" t="e">
        <f t="shared" si="10"/>
        <v>#DIV/0!</v>
      </c>
      <c r="N22" s="28">
        <f t="shared" si="13"/>
        <v>0</v>
      </c>
      <c r="O22" s="28">
        <f t="shared" si="5"/>
        <v>0</v>
      </c>
      <c r="P22" s="28">
        <f t="shared" ref="P22" si="17">F22+K22</f>
        <v>0</v>
      </c>
      <c r="Q22" s="28">
        <f t="shared" ref="Q22" si="18">P22-O22</f>
        <v>0</v>
      </c>
      <c r="R22" s="38" t="e">
        <f t="shared" ref="R22" si="19">SUM(P22/O22)*100</f>
        <v>#DIV/0!</v>
      </c>
    </row>
    <row r="23" spans="1:19" ht="39" hidden="1" x14ac:dyDescent="0.25">
      <c r="A23" s="29"/>
      <c r="B23" s="24">
        <v>1260</v>
      </c>
      <c r="C23" s="25" t="s">
        <v>144</v>
      </c>
      <c r="D23" s="26"/>
      <c r="E23" s="26"/>
      <c r="F23" s="26"/>
      <c r="G23" s="26"/>
      <c r="H23" s="26"/>
      <c r="I23" s="26"/>
      <c r="J23" s="26"/>
      <c r="K23" s="26"/>
      <c r="L23" s="26">
        <f t="shared" si="12"/>
        <v>0</v>
      </c>
      <c r="M23" s="27" t="e">
        <f t="shared" si="10"/>
        <v>#DIV/0!</v>
      </c>
      <c r="N23" s="28">
        <f t="shared" si="13"/>
        <v>0</v>
      </c>
      <c r="O23" s="28">
        <f t="shared" si="5"/>
        <v>0</v>
      </c>
      <c r="P23" s="28"/>
      <c r="Q23" s="28">
        <f t="shared" ref="Q23" si="20">P23-O23</f>
        <v>0</v>
      </c>
      <c r="R23" s="38" t="e">
        <f t="shared" ref="R23" si="21">SUM(P23/O23)*100</f>
        <v>#DIV/0!</v>
      </c>
    </row>
    <row r="24" spans="1:19" ht="64.5" hidden="1" x14ac:dyDescent="0.25">
      <c r="A24" s="29"/>
      <c r="B24" s="24">
        <v>1270</v>
      </c>
      <c r="C24" s="25" t="s">
        <v>146</v>
      </c>
      <c r="D24" s="26"/>
      <c r="E24" s="26"/>
      <c r="F24" s="26"/>
      <c r="G24" s="26"/>
      <c r="H24" s="26" t="e">
        <f t="shared" si="6"/>
        <v>#DIV/0!</v>
      </c>
      <c r="I24" s="26"/>
      <c r="J24" s="26"/>
      <c r="K24" s="26"/>
      <c r="L24" s="26">
        <f t="shared" si="12"/>
        <v>0</v>
      </c>
      <c r="M24" s="27" t="e">
        <f t="shared" si="10"/>
        <v>#DIV/0!</v>
      </c>
      <c r="N24" s="28">
        <f t="shared" si="13"/>
        <v>0</v>
      </c>
      <c r="O24" s="28">
        <f t="shared" si="5"/>
        <v>0</v>
      </c>
      <c r="P24" s="28"/>
      <c r="Q24" s="28">
        <f t="shared" ref="Q24:Q31" si="22">P24-O24</f>
        <v>0</v>
      </c>
      <c r="R24" s="38" t="e">
        <f t="shared" ref="R24:R31" si="23">SUM(P24/O24)*100</f>
        <v>#DIV/0!</v>
      </c>
    </row>
    <row r="25" spans="1:19" ht="51.75" x14ac:dyDescent="0.25">
      <c r="A25" s="29"/>
      <c r="B25" s="24">
        <v>1180</v>
      </c>
      <c r="C25" s="25" t="s">
        <v>151</v>
      </c>
      <c r="D25" s="26">
        <f>11.928+27.831</f>
        <v>39.759</v>
      </c>
      <c r="E25" s="26">
        <f>11.928+27.831</f>
        <v>39.759</v>
      </c>
      <c r="F25" s="26">
        <v>6.8</v>
      </c>
      <c r="G25" s="26">
        <v>0</v>
      </c>
      <c r="H25" s="26">
        <v>0</v>
      </c>
      <c r="I25" s="26">
        <f>567.722+1324.669</f>
        <v>1892.3910000000001</v>
      </c>
      <c r="J25" s="26">
        <f>567.722+1118.469</f>
        <v>1686.191</v>
      </c>
      <c r="K25" s="26">
        <v>81</v>
      </c>
      <c r="L25" s="26">
        <f t="shared" si="12"/>
        <v>-1605.191</v>
      </c>
      <c r="M25" s="27">
        <v>0</v>
      </c>
      <c r="N25" s="28">
        <f t="shared" si="13"/>
        <v>1932.15</v>
      </c>
      <c r="O25" s="28">
        <v>0</v>
      </c>
      <c r="P25" s="28">
        <f t="shared" ref="P25" si="24">F25+K25</f>
        <v>87.8</v>
      </c>
      <c r="Q25" s="28">
        <f t="shared" si="22"/>
        <v>87.8</v>
      </c>
      <c r="R25" s="38">
        <v>0</v>
      </c>
    </row>
    <row r="26" spans="1:19" ht="90" x14ac:dyDescent="0.25">
      <c r="A26" s="29"/>
      <c r="B26" s="24">
        <v>1200</v>
      </c>
      <c r="C26" s="25" t="s">
        <v>148</v>
      </c>
      <c r="D26" s="26">
        <v>606.5</v>
      </c>
      <c r="E26" s="26">
        <v>363.6</v>
      </c>
      <c r="F26" s="26">
        <v>351.4</v>
      </c>
      <c r="G26" s="26">
        <f t="shared" ref="G26:G31" si="25">F26-E26</f>
        <v>-12.200000000000045</v>
      </c>
      <c r="H26" s="26">
        <f t="shared" ref="H26:H31" si="26">SUM(F26/E26)*100</f>
        <v>96.644664466446628</v>
      </c>
      <c r="I26" s="26">
        <f>1946.721+1946.721+4174.38+7752.3</f>
        <v>15820.121999999999</v>
      </c>
      <c r="J26" s="26">
        <f>1946.721+95.123+4174.38+5613</f>
        <v>11829.224</v>
      </c>
      <c r="K26" s="26"/>
      <c r="L26" s="26">
        <f t="shared" si="12"/>
        <v>-11829.224</v>
      </c>
      <c r="M26" s="27">
        <v>0</v>
      </c>
      <c r="N26" s="28">
        <f t="shared" si="13"/>
        <v>16426.621999999999</v>
      </c>
      <c r="O26" s="28">
        <f t="shared" si="13"/>
        <v>12192.824000000001</v>
      </c>
      <c r="P26" s="28">
        <f t="shared" ref="P26:P31" si="27">F26+K26</f>
        <v>351.4</v>
      </c>
      <c r="Q26" s="28">
        <f t="shared" si="22"/>
        <v>-11841.424000000001</v>
      </c>
      <c r="R26" s="38">
        <f t="shared" si="23"/>
        <v>2.8820230653702534</v>
      </c>
    </row>
    <row r="27" spans="1:19" ht="115.5" hidden="1" x14ac:dyDescent="0.25">
      <c r="A27" s="29"/>
      <c r="B27" s="24">
        <v>1260</v>
      </c>
      <c r="C27" s="25" t="s">
        <v>152</v>
      </c>
      <c r="D27" s="26"/>
      <c r="E27" s="26"/>
      <c r="F27" s="26"/>
      <c r="G27" s="26">
        <f t="shared" si="25"/>
        <v>0</v>
      </c>
      <c r="H27" s="26" t="e">
        <f t="shared" si="26"/>
        <v>#DIV/0!</v>
      </c>
      <c r="I27" s="26"/>
      <c r="J27" s="26"/>
      <c r="K27" s="26"/>
      <c r="L27" s="26">
        <f t="shared" si="12"/>
        <v>0</v>
      </c>
      <c r="M27" s="27" t="e">
        <f t="shared" si="10"/>
        <v>#DIV/0!</v>
      </c>
      <c r="N27" s="28">
        <f t="shared" si="13"/>
        <v>0</v>
      </c>
      <c r="O27" s="28">
        <f t="shared" si="13"/>
        <v>0</v>
      </c>
      <c r="P27" s="28"/>
      <c r="Q27" s="28">
        <f t="shared" si="22"/>
        <v>0</v>
      </c>
      <c r="R27" s="38">
        <v>0</v>
      </c>
    </row>
    <row r="28" spans="1:19" ht="101.25" customHeight="1" x14ac:dyDescent="0.25">
      <c r="A28" s="29"/>
      <c r="B28" s="24">
        <v>1290</v>
      </c>
      <c r="C28" s="25" t="s">
        <v>156</v>
      </c>
      <c r="D28" s="26">
        <v>39.457999999999998</v>
      </c>
      <c r="E28" s="26">
        <v>39.457999999999998</v>
      </c>
      <c r="F28" s="26">
        <v>38.9</v>
      </c>
      <c r="G28" s="26"/>
      <c r="H28" s="26"/>
      <c r="I28" s="26">
        <f>213.519+571.548</f>
        <v>785.06700000000001</v>
      </c>
      <c r="J28" s="26">
        <f>213.519+571.548</f>
        <v>785.06700000000001</v>
      </c>
      <c r="K28" s="26">
        <v>293.8</v>
      </c>
      <c r="L28" s="26"/>
      <c r="M28" s="27"/>
      <c r="N28" s="28">
        <f t="shared" si="13"/>
        <v>824.52499999999998</v>
      </c>
      <c r="O28" s="28">
        <f t="shared" si="13"/>
        <v>824.52499999999998</v>
      </c>
      <c r="P28" s="28">
        <f t="shared" si="27"/>
        <v>332.7</v>
      </c>
      <c r="Q28" s="28">
        <f t="shared" si="22"/>
        <v>-491.82499999999999</v>
      </c>
      <c r="R28" s="38"/>
    </row>
    <row r="29" spans="1:19" ht="26.25" x14ac:dyDescent="0.25">
      <c r="A29" s="29"/>
      <c r="B29" s="24">
        <v>1300</v>
      </c>
      <c r="C29" s="25" t="s">
        <v>153</v>
      </c>
      <c r="D29" s="26">
        <v>0</v>
      </c>
      <c r="E29" s="26">
        <v>0</v>
      </c>
      <c r="F29" s="26"/>
      <c r="G29" s="26">
        <f t="shared" si="25"/>
        <v>0</v>
      </c>
      <c r="H29" s="26">
        <v>0</v>
      </c>
      <c r="I29" s="26">
        <v>1338.9190000000001</v>
      </c>
      <c r="J29" s="26">
        <v>1338.9190000000001</v>
      </c>
      <c r="K29" s="26">
        <v>0</v>
      </c>
      <c r="L29" s="26">
        <f t="shared" si="12"/>
        <v>-1338.9190000000001</v>
      </c>
      <c r="M29" s="27">
        <f t="shared" si="10"/>
        <v>0</v>
      </c>
      <c r="N29" s="28">
        <f t="shared" ref="N29" si="28">D29+I29</f>
        <v>1338.9190000000001</v>
      </c>
      <c r="O29" s="28">
        <f t="shared" ref="O29" si="29">E29+J29</f>
        <v>1338.9190000000001</v>
      </c>
      <c r="P29" s="28">
        <f t="shared" ref="P29" si="30">F29+K29</f>
        <v>0</v>
      </c>
      <c r="Q29" s="28">
        <f t="shared" ref="Q29" si="31">P29-O29</f>
        <v>-1338.9190000000001</v>
      </c>
      <c r="R29" s="38">
        <f t="shared" ref="R29" si="32">SUM(P29/O29)*100</f>
        <v>0</v>
      </c>
    </row>
    <row r="30" spans="1:19" ht="39" x14ac:dyDescent="0.25">
      <c r="A30" s="29"/>
      <c r="B30" s="24">
        <v>1400</v>
      </c>
      <c r="C30" s="25" t="s">
        <v>150</v>
      </c>
      <c r="D30" s="26">
        <v>0</v>
      </c>
      <c r="E30" s="26">
        <v>0</v>
      </c>
      <c r="F30" s="26"/>
      <c r="G30" s="26">
        <f t="shared" si="25"/>
        <v>0</v>
      </c>
      <c r="H30" s="26">
        <v>0</v>
      </c>
      <c r="I30" s="26">
        <v>4360</v>
      </c>
      <c r="J30" s="26">
        <v>4360</v>
      </c>
      <c r="K30" s="26">
        <v>2000.2</v>
      </c>
      <c r="L30" s="26">
        <f t="shared" si="12"/>
        <v>-2359.8000000000002</v>
      </c>
      <c r="M30" s="27">
        <f t="shared" si="10"/>
        <v>45.87614678899083</v>
      </c>
      <c r="N30" s="28">
        <f t="shared" si="13"/>
        <v>4360</v>
      </c>
      <c r="O30" s="28">
        <f t="shared" si="13"/>
        <v>4360</v>
      </c>
      <c r="P30" s="28">
        <f t="shared" si="27"/>
        <v>2000.2</v>
      </c>
      <c r="Q30" s="28">
        <f t="shared" si="22"/>
        <v>-2359.8000000000002</v>
      </c>
      <c r="R30" s="38">
        <f t="shared" si="23"/>
        <v>45.87614678899083</v>
      </c>
    </row>
    <row r="31" spans="1:19" ht="64.5" x14ac:dyDescent="0.25">
      <c r="A31" s="29"/>
      <c r="B31" s="24">
        <v>1600</v>
      </c>
      <c r="C31" s="25" t="s">
        <v>149</v>
      </c>
      <c r="D31" s="26">
        <v>4331.1000000000004</v>
      </c>
      <c r="E31" s="26">
        <v>4331.1000000000004</v>
      </c>
      <c r="F31" s="26">
        <v>3785.5</v>
      </c>
      <c r="G31" s="26">
        <f t="shared" si="25"/>
        <v>-545.60000000000036</v>
      </c>
      <c r="H31" s="26">
        <f t="shared" si="26"/>
        <v>87.402738334372316</v>
      </c>
      <c r="I31" s="26">
        <v>0</v>
      </c>
      <c r="J31" s="26">
        <v>0</v>
      </c>
      <c r="K31" s="26">
        <v>0</v>
      </c>
      <c r="L31" s="26">
        <f t="shared" si="12"/>
        <v>0</v>
      </c>
      <c r="M31" s="27">
        <v>0</v>
      </c>
      <c r="N31" s="28">
        <f t="shared" si="13"/>
        <v>4331.1000000000004</v>
      </c>
      <c r="O31" s="28">
        <f t="shared" si="13"/>
        <v>4331.1000000000004</v>
      </c>
      <c r="P31" s="28">
        <f t="shared" si="27"/>
        <v>3785.5</v>
      </c>
      <c r="Q31" s="28">
        <f t="shared" si="22"/>
        <v>-545.60000000000036</v>
      </c>
      <c r="R31" s="38">
        <f t="shared" si="23"/>
        <v>87.402738334372316</v>
      </c>
    </row>
    <row r="32" spans="1:19" ht="18" customHeight="1" x14ac:dyDescent="0.25">
      <c r="A32" s="30">
        <v>3</v>
      </c>
      <c r="B32" s="37"/>
      <c r="C32" s="32" t="s">
        <v>40</v>
      </c>
      <c r="D32" s="33">
        <f>SUM(D33:D34)</f>
        <v>20481.457000000002</v>
      </c>
      <c r="E32" s="33">
        <f>SUM(E33:E34)</f>
        <v>13002.321</v>
      </c>
      <c r="F32" s="33">
        <f>SUM(F33:F34)</f>
        <v>11312.5</v>
      </c>
      <c r="G32" s="33">
        <f>SUM(G33:G34)</f>
        <v>-1689.8209999999999</v>
      </c>
      <c r="H32" s="33">
        <f t="shared" si="6"/>
        <v>87.003697262973276</v>
      </c>
      <c r="I32" s="33">
        <f t="shared" ref="I32:J32" si="33">SUM(I33:I34)</f>
        <v>18029.825000000001</v>
      </c>
      <c r="J32" s="33">
        <f t="shared" si="33"/>
        <v>18029.825000000001</v>
      </c>
      <c r="K32" s="33">
        <f>SUM(K33:K34)</f>
        <v>12858.1</v>
      </c>
      <c r="L32" s="33">
        <f>SUM(L33:L34)</f>
        <v>-5171.7249999999985</v>
      </c>
      <c r="M32" s="22">
        <v>0</v>
      </c>
      <c r="N32" s="33">
        <f t="shared" ref="N32:O32" si="34">SUM(N33:N34)</f>
        <v>38511.281999999999</v>
      </c>
      <c r="O32" s="33">
        <f t="shared" si="34"/>
        <v>31032.146000000001</v>
      </c>
      <c r="P32" s="34">
        <f>SUM(P33:P34)</f>
        <v>24170.600000000002</v>
      </c>
      <c r="Q32" s="34">
        <f>SUM(Q33:Q34)</f>
        <v>-6861.5459999999975</v>
      </c>
      <c r="R32" s="72">
        <f>SUM(P32/O32)*100</f>
        <v>77.888909133129246</v>
      </c>
      <c r="S32" s="36"/>
    </row>
    <row r="33" spans="1:19" ht="26.25" x14ac:dyDescent="0.25">
      <c r="A33" s="29"/>
      <c r="B33" s="24" t="s">
        <v>41</v>
      </c>
      <c r="C33" s="25" t="s">
        <v>42</v>
      </c>
      <c r="D33" s="26">
        <v>13756.922</v>
      </c>
      <c r="E33" s="26">
        <v>8857.357</v>
      </c>
      <c r="F33" s="26">
        <v>7733.8</v>
      </c>
      <c r="G33" s="26">
        <f t="shared" ref="G33:G34" si="35">F33-E33</f>
        <v>-1123.5569999999998</v>
      </c>
      <c r="H33" s="26">
        <f t="shared" si="6"/>
        <v>87.314985723167766</v>
      </c>
      <c r="I33" s="26">
        <v>17701.424999999999</v>
      </c>
      <c r="J33" s="26">
        <v>17701.424999999999</v>
      </c>
      <c r="K33" s="26">
        <v>12806.1</v>
      </c>
      <c r="L33" s="26">
        <f>K33-J33</f>
        <v>-4895.3249999999989</v>
      </c>
      <c r="M33" s="27">
        <f t="shared" si="10"/>
        <v>72.345023070176566</v>
      </c>
      <c r="N33" s="28">
        <f t="shared" ref="N33:O34" si="36">D33+I33</f>
        <v>31458.347000000002</v>
      </c>
      <c r="O33" s="28">
        <f t="shared" si="36"/>
        <v>26558.781999999999</v>
      </c>
      <c r="P33" s="28">
        <f>F33+K33</f>
        <v>20539.900000000001</v>
      </c>
      <c r="Q33" s="28">
        <f t="shared" si="8"/>
        <v>-6018.8819999999978</v>
      </c>
      <c r="R33" s="38">
        <f>SUM(P33/O33)*100</f>
        <v>77.33750742033277</v>
      </c>
    </row>
    <row r="34" spans="1:19" ht="26.25" x14ac:dyDescent="0.25">
      <c r="A34" s="29"/>
      <c r="B34" s="24" t="s">
        <v>43</v>
      </c>
      <c r="C34" s="25" t="s">
        <v>44</v>
      </c>
      <c r="D34" s="26">
        <v>6724.5349999999999</v>
      </c>
      <c r="E34" s="26">
        <v>4144.9639999999999</v>
      </c>
      <c r="F34" s="26">
        <v>3578.7</v>
      </c>
      <c r="G34" s="26">
        <f t="shared" si="35"/>
        <v>-566.26400000000012</v>
      </c>
      <c r="H34" s="26">
        <f t="shared" si="6"/>
        <v>86.338506196917507</v>
      </c>
      <c r="I34" s="26">
        <v>328.4</v>
      </c>
      <c r="J34" s="26">
        <v>328.4</v>
      </c>
      <c r="K34" s="26">
        <v>52</v>
      </c>
      <c r="L34" s="26">
        <f>K34-J34</f>
        <v>-276.39999999999998</v>
      </c>
      <c r="M34" s="22">
        <v>0</v>
      </c>
      <c r="N34" s="28">
        <f t="shared" si="36"/>
        <v>7052.9349999999995</v>
      </c>
      <c r="O34" s="28">
        <f t="shared" si="36"/>
        <v>4473.3639999999996</v>
      </c>
      <c r="P34" s="28">
        <f>F34+K34</f>
        <v>3630.7</v>
      </c>
      <c r="Q34" s="28">
        <f t="shared" si="8"/>
        <v>-842.66399999999976</v>
      </c>
      <c r="R34" s="38">
        <f>SUM(P34/O34)*100</f>
        <v>81.162632864215837</v>
      </c>
    </row>
    <row r="35" spans="1:19" ht="26.25" x14ac:dyDescent="0.25">
      <c r="A35" s="30">
        <v>4</v>
      </c>
      <c r="B35" s="37"/>
      <c r="C35" s="32" t="s">
        <v>45</v>
      </c>
      <c r="D35" s="33">
        <f>SUM(D36:D50)</f>
        <v>49728.675999999992</v>
      </c>
      <c r="E35" s="33">
        <f>SUM(E36:E50)</f>
        <v>33628.868000000002</v>
      </c>
      <c r="F35" s="33">
        <f>SUM(F36:F50)</f>
        <v>24237.5</v>
      </c>
      <c r="G35" s="33">
        <f>SUM(G36:G50)</f>
        <v>-9391.3679999999986</v>
      </c>
      <c r="H35" s="33">
        <f>SUM(F35/E35)*100</f>
        <v>72.073493523481062</v>
      </c>
      <c r="I35" s="33">
        <f t="shared" ref="I35:J35" si="37">SUM(I36:I50)</f>
        <v>231.297</v>
      </c>
      <c r="J35" s="33">
        <f t="shared" si="37"/>
        <v>231.297</v>
      </c>
      <c r="K35" s="33">
        <f>SUM(K36:K50)</f>
        <v>217.6</v>
      </c>
      <c r="L35" s="33">
        <f>SUM(L36:L50)</f>
        <v>-13.69700000000001</v>
      </c>
      <c r="M35" s="22">
        <f t="shared" ref="M35" si="38">SUM(K35/J35)*100</f>
        <v>94.078176543578167</v>
      </c>
      <c r="N35" s="33">
        <f t="shared" ref="N35:O35" si="39">SUM(N36:N50)</f>
        <v>49959.972999999998</v>
      </c>
      <c r="O35" s="33">
        <f t="shared" si="39"/>
        <v>33860.164999999994</v>
      </c>
      <c r="P35" s="34">
        <f>SUM(P36:P50)</f>
        <v>24455.1</v>
      </c>
      <c r="Q35" s="34">
        <f>SUM(Q36:Q50)</f>
        <v>-9405.0649999999987</v>
      </c>
      <c r="R35" s="72">
        <f>SUM(P35/O35)*100</f>
        <v>72.223806351800121</v>
      </c>
      <c r="S35" s="36"/>
    </row>
    <row r="36" spans="1:19" ht="66" customHeight="1" x14ac:dyDescent="0.25">
      <c r="A36" s="29"/>
      <c r="B36" s="24" t="s">
        <v>46</v>
      </c>
      <c r="C36" s="25" t="s">
        <v>47</v>
      </c>
      <c r="D36" s="26">
        <f>956.14+32.5+233.7+159.3</f>
        <v>1381.6399999999999</v>
      </c>
      <c r="E36" s="26">
        <f>839.64+18.956+123+106.25</f>
        <v>1087.846</v>
      </c>
      <c r="F36" s="26">
        <v>397.8</v>
      </c>
      <c r="G36" s="26">
        <f t="shared" ref="G36:G50" si="40">F36-E36</f>
        <v>-690.04600000000005</v>
      </c>
      <c r="H36" s="26">
        <f t="shared" si="6"/>
        <v>36.56767593942525</v>
      </c>
      <c r="I36" s="26">
        <v>0</v>
      </c>
      <c r="J36" s="26">
        <v>0</v>
      </c>
      <c r="K36" s="26">
        <v>0</v>
      </c>
      <c r="L36" s="26">
        <f t="shared" ref="L36:L55" si="41">K36-J36</f>
        <v>0</v>
      </c>
      <c r="M36" s="26">
        <v>0</v>
      </c>
      <c r="N36" s="28">
        <f t="shared" ref="N36:O50" si="42">D36+I36</f>
        <v>1381.6399999999999</v>
      </c>
      <c r="O36" s="28">
        <f t="shared" si="42"/>
        <v>1087.846</v>
      </c>
      <c r="P36" s="28">
        <f t="shared" ref="O36:P93" si="43">F36+K36</f>
        <v>397.8</v>
      </c>
      <c r="Q36" s="28">
        <f t="shared" si="8"/>
        <v>-690.04600000000005</v>
      </c>
      <c r="R36" s="38">
        <f t="shared" ref="R36:R50" si="44">SUM(P36/O36)*100</f>
        <v>36.56767593942525</v>
      </c>
    </row>
    <row r="37" spans="1:19" ht="42" customHeight="1" x14ac:dyDescent="0.25">
      <c r="A37" s="29"/>
      <c r="B37" s="24" t="s">
        <v>48</v>
      </c>
      <c r="C37" s="25" t="s">
        <v>49</v>
      </c>
      <c r="D37" s="26">
        <v>191.96199999999999</v>
      </c>
      <c r="E37" s="26">
        <v>111.979</v>
      </c>
      <c r="F37" s="26">
        <v>108.4</v>
      </c>
      <c r="G37" s="26">
        <f t="shared" si="40"/>
        <v>-3.5789999999999935</v>
      </c>
      <c r="H37" s="26">
        <f t="shared" si="6"/>
        <v>96.80386501040374</v>
      </c>
      <c r="I37" s="26">
        <v>0</v>
      </c>
      <c r="J37" s="26">
        <v>0</v>
      </c>
      <c r="K37" s="26">
        <v>0</v>
      </c>
      <c r="L37" s="26">
        <f t="shared" si="41"/>
        <v>0</v>
      </c>
      <c r="M37" s="26">
        <v>0</v>
      </c>
      <c r="N37" s="28">
        <f t="shared" si="42"/>
        <v>191.96199999999999</v>
      </c>
      <c r="O37" s="28">
        <f t="shared" si="42"/>
        <v>111.979</v>
      </c>
      <c r="P37" s="28">
        <f t="shared" si="43"/>
        <v>108.4</v>
      </c>
      <c r="Q37" s="28">
        <f t="shared" si="8"/>
        <v>-3.5789999999999935</v>
      </c>
      <c r="R37" s="38">
        <f t="shared" si="44"/>
        <v>96.80386501040374</v>
      </c>
    </row>
    <row r="38" spans="1:19" ht="39" x14ac:dyDescent="0.25">
      <c r="A38" s="29"/>
      <c r="B38" s="24" t="s">
        <v>50</v>
      </c>
      <c r="C38" s="25" t="s">
        <v>51</v>
      </c>
      <c r="D38" s="26">
        <v>27.673999999999999</v>
      </c>
      <c r="E38" s="26">
        <v>16.143999999999998</v>
      </c>
      <c r="F38" s="26">
        <v>16.100000000000001</v>
      </c>
      <c r="G38" s="26">
        <f t="shared" si="40"/>
        <v>-4.399999999999693E-2</v>
      </c>
      <c r="H38" s="26">
        <f t="shared" si="6"/>
        <v>99.727452923686826</v>
      </c>
      <c r="I38" s="26">
        <v>0</v>
      </c>
      <c r="J38" s="26">
        <v>0</v>
      </c>
      <c r="K38" s="26">
        <v>0</v>
      </c>
      <c r="L38" s="26">
        <f t="shared" si="41"/>
        <v>0</v>
      </c>
      <c r="M38" s="26">
        <v>0</v>
      </c>
      <c r="N38" s="28">
        <f t="shared" si="42"/>
        <v>27.673999999999999</v>
      </c>
      <c r="O38" s="28">
        <f t="shared" si="42"/>
        <v>16.143999999999998</v>
      </c>
      <c r="P38" s="28">
        <f t="shared" si="43"/>
        <v>16.100000000000001</v>
      </c>
      <c r="Q38" s="28">
        <f t="shared" si="8"/>
        <v>-4.399999999999693E-2</v>
      </c>
      <c r="R38" s="38">
        <f t="shared" si="44"/>
        <v>99.727452923686826</v>
      </c>
    </row>
    <row r="39" spans="1:19" ht="62.25" customHeight="1" x14ac:dyDescent="0.25">
      <c r="A39" s="29"/>
      <c r="B39" s="24" t="s">
        <v>52</v>
      </c>
      <c r="C39" s="25" t="s">
        <v>53</v>
      </c>
      <c r="D39" s="26">
        <v>7278.4110000000001</v>
      </c>
      <c r="E39" s="26">
        <v>4324.6620000000003</v>
      </c>
      <c r="F39" s="26">
        <v>3846.1</v>
      </c>
      <c r="G39" s="26">
        <f t="shared" si="40"/>
        <v>-478.56200000000035</v>
      </c>
      <c r="H39" s="26">
        <f t="shared" si="6"/>
        <v>88.934117857071826</v>
      </c>
      <c r="I39" s="26">
        <v>63.677</v>
      </c>
      <c r="J39" s="26">
        <v>63.677</v>
      </c>
      <c r="K39" s="26">
        <v>84.6</v>
      </c>
      <c r="L39" s="26">
        <f t="shared" si="41"/>
        <v>20.922999999999995</v>
      </c>
      <c r="M39" s="27">
        <v>0</v>
      </c>
      <c r="N39" s="28">
        <f t="shared" si="42"/>
        <v>7342.0879999999997</v>
      </c>
      <c r="O39" s="28">
        <f t="shared" si="42"/>
        <v>4388.3389999999999</v>
      </c>
      <c r="P39" s="28">
        <f t="shared" si="43"/>
        <v>3930.7</v>
      </c>
      <c r="Q39" s="28">
        <f t="shared" si="8"/>
        <v>-457.63900000000012</v>
      </c>
      <c r="R39" s="38">
        <f t="shared" si="44"/>
        <v>89.571475676787955</v>
      </c>
    </row>
    <row r="40" spans="1:19" ht="26.25" x14ac:dyDescent="0.25">
      <c r="A40" s="29"/>
      <c r="B40" s="24" t="s">
        <v>54</v>
      </c>
      <c r="C40" s="25" t="s">
        <v>55</v>
      </c>
      <c r="D40" s="26">
        <v>395</v>
      </c>
      <c r="E40" s="26">
        <v>170</v>
      </c>
      <c r="F40" s="26">
        <v>170</v>
      </c>
      <c r="G40" s="26">
        <f t="shared" si="40"/>
        <v>0</v>
      </c>
      <c r="H40" s="26">
        <v>0</v>
      </c>
      <c r="I40" s="26">
        <v>0</v>
      </c>
      <c r="J40" s="26">
        <v>0</v>
      </c>
      <c r="K40" s="26"/>
      <c r="L40" s="26">
        <f t="shared" si="41"/>
        <v>0</v>
      </c>
      <c r="M40" s="26">
        <v>0</v>
      </c>
      <c r="N40" s="28">
        <f t="shared" si="42"/>
        <v>395</v>
      </c>
      <c r="O40" s="28">
        <f t="shared" si="42"/>
        <v>170</v>
      </c>
      <c r="P40" s="28">
        <f t="shared" si="43"/>
        <v>170</v>
      </c>
      <c r="Q40" s="28">
        <f t="shared" si="8"/>
        <v>0</v>
      </c>
      <c r="R40" s="38">
        <v>0</v>
      </c>
    </row>
    <row r="41" spans="1:19" ht="27" customHeight="1" x14ac:dyDescent="0.25">
      <c r="A41" s="29"/>
      <c r="B41" s="24" t="s">
        <v>56</v>
      </c>
      <c r="C41" s="25" t="s">
        <v>57</v>
      </c>
      <c r="D41" s="26">
        <f>6964.637+65</f>
        <v>7029.6369999999997</v>
      </c>
      <c r="E41" s="26">
        <f>4018.534</f>
        <v>4018.5340000000001</v>
      </c>
      <c r="F41" s="26">
        <v>3880.8</v>
      </c>
      <c r="G41" s="26">
        <f t="shared" si="40"/>
        <v>-137.73399999999992</v>
      </c>
      <c r="H41" s="26">
        <v>0</v>
      </c>
      <c r="I41" s="26">
        <v>167.62</v>
      </c>
      <c r="J41" s="26">
        <v>167.62</v>
      </c>
      <c r="K41" s="26">
        <v>133</v>
      </c>
      <c r="L41" s="26">
        <f t="shared" si="41"/>
        <v>-34.620000000000005</v>
      </c>
      <c r="M41" s="27">
        <f t="shared" ref="M41" si="45">SUM(K41/J41)*100</f>
        <v>79.346140078749556</v>
      </c>
      <c r="N41" s="28">
        <f t="shared" si="42"/>
        <v>7197.2569999999996</v>
      </c>
      <c r="O41" s="28">
        <f t="shared" si="42"/>
        <v>4186.1540000000005</v>
      </c>
      <c r="P41" s="28">
        <f t="shared" si="43"/>
        <v>4013.8</v>
      </c>
      <c r="Q41" s="28">
        <f t="shared" si="8"/>
        <v>-172.35400000000027</v>
      </c>
      <c r="R41" s="38">
        <v>0</v>
      </c>
    </row>
    <row r="42" spans="1:19" ht="26.25" x14ac:dyDescent="0.25">
      <c r="A42" s="29"/>
      <c r="B42" s="24" t="s">
        <v>58</v>
      </c>
      <c r="C42" s="25" t="s">
        <v>59</v>
      </c>
      <c r="D42" s="26">
        <v>261.77999999999997</v>
      </c>
      <c r="E42" s="26">
        <v>117.5</v>
      </c>
      <c r="F42" s="26">
        <v>112.5</v>
      </c>
      <c r="G42" s="26">
        <f t="shared" si="40"/>
        <v>-5</v>
      </c>
      <c r="H42" s="26">
        <f t="shared" si="6"/>
        <v>95.744680851063833</v>
      </c>
      <c r="I42" s="26">
        <v>0</v>
      </c>
      <c r="J42" s="26">
        <v>0</v>
      </c>
      <c r="K42" s="26">
        <v>0</v>
      </c>
      <c r="L42" s="26">
        <f t="shared" si="41"/>
        <v>0</v>
      </c>
      <c r="M42" s="26">
        <v>0</v>
      </c>
      <c r="N42" s="28">
        <f t="shared" si="42"/>
        <v>261.77999999999997</v>
      </c>
      <c r="O42" s="28">
        <f t="shared" si="42"/>
        <v>117.5</v>
      </c>
      <c r="P42" s="28">
        <f t="shared" si="43"/>
        <v>112.5</v>
      </c>
      <c r="Q42" s="28">
        <f t="shared" si="8"/>
        <v>-5</v>
      </c>
      <c r="R42" s="38">
        <f t="shared" si="44"/>
        <v>95.744680851063833</v>
      </c>
    </row>
    <row r="43" spans="1:19" ht="76.5" customHeight="1" x14ac:dyDescent="0.25">
      <c r="A43" s="29"/>
      <c r="B43" s="24" t="s">
        <v>60</v>
      </c>
      <c r="C43" s="25" t="s">
        <v>61</v>
      </c>
      <c r="D43" s="26">
        <v>4522.3289999999997</v>
      </c>
      <c r="E43" s="26">
        <v>4522.3289999999997</v>
      </c>
      <c r="F43" s="26">
        <v>3752</v>
      </c>
      <c r="G43" s="26">
        <f t="shared" si="40"/>
        <v>-770.32899999999972</v>
      </c>
      <c r="H43" s="26">
        <v>0</v>
      </c>
      <c r="I43" s="26">
        <v>0</v>
      </c>
      <c r="J43" s="26">
        <v>0</v>
      </c>
      <c r="K43" s="26"/>
      <c r="L43" s="26">
        <f t="shared" si="41"/>
        <v>0</v>
      </c>
      <c r="M43" s="26">
        <v>0</v>
      </c>
      <c r="N43" s="28">
        <f t="shared" si="42"/>
        <v>4522.3289999999997</v>
      </c>
      <c r="O43" s="28">
        <f t="shared" si="42"/>
        <v>4522.3289999999997</v>
      </c>
      <c r="P43" s="28">
        <f t="shared" si="43"/>
        <v>3752</v>
      </c>
      <c r="Q43" s="28">
        <f t="shared" si="8"/>
        <v>-770.32899999999972</v>
      </c>
      <c r="R43" s="38">
        <v>0</v>
      </c>
    </row>
    <row r="44" spans="1:19" ht="90" customHeight="1" x14ac:dyDescent="0.25">
      <c r="A44" s="29"/>
      <c r="B44" s="24" t="s">
        <v>62</v>
      </c>
      <c r="C44" s="25" t="s">
        <v>63</v>
      </c>
      <c r="D44" s="26">
        <v>763.2</v>
      </c>
      <c r="E44" s="26">
        <v>453</v>
      </c>
      <c r="F44" s="26">
        <v>305.3</v>
      </c>
      <c r="G44" s="26">
        <f t="shared" si="40"/>
        <v>-147.69999999999999</v>
      </c>
      <c r="H44" s="26">
        <f t="shared" si="6"/>
        <v>67.395143487858718</v>
      </c>
      <c r="I44" s="26">
        <v>0</v>
      </c>
      <c r="J44" s="26">
        <v>0</v>
      </c>
      <c r="K44" s="26">
        <v>0</v>
      </c>
      <c r="L44" s="26">
        <f t="shared" si="41"/>
        <v>0</v>
      </c>
      <c r="M44" s="26">
        <v>0</v>
      </c>
      <c r="N44" s="28">
        <f t="shared" si="42"/>
        <v>763.2</v>
      </c>
      <c r="O44" s="28">
        <f t="shared" si="42"/>
        <v>453</v>
      </c>
      <c r="P44" s="28">
        <f t="shared" si="43"/>
        <v>305.3</v>
      </c>
      <c r="Q44" s="28">
        <f t="shared" si="8"/>
        <v>-147.69999999999999</v>
      </c>
      <c r="R44" s="38">
        <f t="shared" si="44"/>
        <v>67.395143487858718</v>
      </c>
    </row>
    <row r="45" spans="1:19" ht="26.25" x14ac:dyDescent="0.25">
      <c r="A45" s="29"/>
      <c r="B45" s="24" t="s">
        <v>64</v>
      </c>
      <c r="C45" s="25" t="s">
        <v>65</v>
      </c>
      <c r="D45" s="26">
        <v>23.373999999999999</v>
      </c>
      <c r="E45" s="26">
        <v>11.686999999999999</v>
      </c>
      <c r="F45" s="26">
        <v>11.2</v>
      </c>
      <c r="G45" s="26">
        <f t="shared" si="40"/>
        <v>-0.4870000000000001</v>
      </c>
      <c r="H45" s="26">
        <v>0</v>
      </c>
      <c r="I45" s="26">
        <v>0</v>
      </c>
      <c r="J45" s="26">
        <v>0</v>
      </c>
      <c r="K45" s="26">
        <v>0</v>
      </c>
      <c r="L45" s="26">
        <f t="shared" si="41"/>
        <v>0</v>
      </c>
      <c r="M45" s="26">
        <v>0</v>
      </c>
      <c r="N45" s="28">
        <f t="shared" si="42"/>
        <v>23.373999999999999</v>
      </c>
      <c r="O45" s="28">
        <f t="shared" si="42"/>
        <v>11.686999999999999</v>
      </c>
      <c r="P45" s="28">
        <f t="shared" si="43"/>
        <v>11.2</v>
      </c>
      <c r="Q45" s="28">
        <f t="shared" si="8"/>
        <v>-0.4870000000000001</v>
      </c>
      <c r="R45" s="38">
        <v>0</v>
      </c>
    </row>
    <row r="46" spans="1:19" ht="79.5" customHeight="1" x14ac:dyDescent="0.25">
      <c r="A46" s="29"/>
      <c r="B46" s="24" t="s">
        <v>66</v>
      </c>
      <c r="C46" s="25" t="s">
        <v>67</v>
      </c>
      <c r="D46" s="26">
        <v>1085.693</v>
      </c>
      <c r="E46" s="26">
        <v>758.30100000000004</v>
      </c>
      <c r="F46" s="26">
        <v>329</v>
      </c>
      <c r="G46" s="26">
        <f t="shared" si="40"/>
        <v>-429.30100000000004</v>
      </c>
      <c r="H46" s="26">
        <v>0</v>
      </c>
      <c r="I46" s="26">
        <v>0</v>
      </c>
      <c r="J46" s="26">
        <v>0</v>
      </c>
      <c r="K46" s="26">
        <v>0</v>
      </c>
      <c r="L46" s="26">
        <f t="shared" si="41"/>
        <v>0</v>
      </c>
      <c r="M46" s="26">
        <v>0</v>
      </c>
      <c r="N46" s="28">
        <f t="shared" si="42"/>
        <v>1085.693</v>
      </c>
      <c r="O46" s="28">
        <f t="shared" si="42"/>
        <v>758.30100000000004</v>
      </c>
      <c r="P46" s="28">
        <f t="shared" si="43"/>
        <v>329</v>
      </c>
      <c r="Q46" s="28">
        <f t="shared" si="8"/>
        <v>-429.30100000000004</v>
      </c>
      <c r="R46" s="38">
        <f t="shared" si="44"/>
        <v>43.386465269068616</v>
      </c>
    </row>
    <row r="47" spans="1:19" ht="26.25" x14ac:dyDescent="0.25">
      <c r="A47" s="29"/>
      <c r="B47" s="24" t="s">
        <v>68</v>
      </c>
      <c r="C47" s="25" t="s">
        <v>69</v>
      </c>
      <c r="D47" s="26">
        <f>199.622+354.554</f>
        <v>554.17599999999993</v>
      </c>
      <c r="E47" s="26">
        <f>152.58+293.121</f>
        <v>445.70100000000002</v>
      </c>
      <c r="F47" s="26">
        <v>285.10000000000002</v>
      </c>
      <c r="G47" s="26">
        <f t="shared" si="40"/>
        <v>-160.601</v>
      </c>
      <c r="H47" s="26">
        <f t="shared" si="6"/>
        <v>63.966650287973323</v>
      </c>
      <c r="I47" s="26">
        <v>0</v>
      </c>
      <c r="J47" s="26">
        <v>0</v>
      </c>
      <c r="K47" s="26">
        <v>0</v>
      </c>
      <c r="L47" s="26">
        <f t="shared" si="41"/>
        <v>0</v>
      </c>
      <c r="M47" s="26">
        <v>0</v>
      </c>
      <c r="N47" s="28">
        <f t="shared" si="42"/>
        <v>554.17599999999993</v>
      </c>
      <c r="O47" s="28">
        <f t="shared" si="42"/>
        <v>445.70100000000002</v>
      </c>
      <c r="P47" s="28">
        <f t="shared" si="43"/>
        <v>285.10000000000002</v>
      </c>
      <c r="Q47" s="28">
        <f t="shared" si="8"/>
        <v>-160.601</v>
      </c>
      <c r="R47" s="38">
        <f t="shared" si="44"/>
        <v>63.966650287973323</v>
      </c>
    </row>
    <row r="48" spans="1:19" ht="51.75" hidden="1" x14ac:dyDescent="0.25">
      <c r="A48" s="29"/>
      <c r="B48" s="24">
        <v>3222</v>
      </c>
      <c r="C48" s="25" t="s">
        <v>147</v>
      </c>
      <c r="D48" s="26"/>
      <c r="E48" s="26"/>
      <c r="F48" s="26"/>
      <c r="G48" s="26">
        <f t="shared" si="40"/>
        <v>0</v>
      </c>
      <c r="H48" s="26"/>
      <c r="I48" s="26">
        <v>0</v>
      </c>
      <c r="J48" s="26">
        <v>0</v>
      </c>
      <c r="K48" s="26"/>
      <c r="L48" s="26"/>
      <c r="M48" s="26">
        <v>0</v>
      </c>
      <c r="N48" s="28">
        <f t="shared" si="42"/>
        <v>0</v>
      </c>
      <c r="O48" s="28">
        <f t="shared" si="42"/>
        <v>0</v>
      </c>
      <c r="P48" s="28">
        <f t="shared" ref="P48" si="46">F48+K48</f>
        <v>0</v>
      </c>
      <c r="Q48" s="28">
        <f t="shared" ref="Q48" si="47">P48-O48</f>
        <v>0</v>
      </c>
      <c r="R48" s="38" t="e">
        <f t="shared" ref="R48" si="48">SUM(P48/O48)*100</f>
        <v>#DIV/0!</v>
      </c>
    </row>
    <row r="49" spans="1:19" ht="54" customHeight="1" x14ac:dyDescent="0.25">
      <c r="A49" s="29"/>
      <c r="B49" s="24">
        <v>3230</v>
      </c>
      <c r="C49" s="25" t="s">
        <v>70</v>
      </c>
      <c r="D49" s="26">
        <v>331.2</v>
      </c>
      <c r="E49" s="26">
        <v>218.1</v>
      </c>
      <c r="F49" s="26">
        <v>159.9</v>
      </c>
      <c r="G49" s="26">
        <f t="shared" si="40"/>
        <v>-58.199999999999989</v>
      </c>
      <c r="H49" s="26">
        <f t="shared" si="6"/>
        <v>73.314993122420915</v>
      </c>
      <c r="I49" s="26">
        <v>0</v>
      </c>
      <c r="J49" s="26">
        <v>0</v>
      </c>
      <c r="K49" s="26">
        <v>0</v>
      </c>
      <c r="L49" s="26">
        <v>0</v>
      </c>
      <c r="M49" s="22">
        <v>0</v>
      </c>
      <c r="N49" s="28">
        <f t="shared" si="42"/>
        <v>331.2</v>
      </c>
      <c r="O49" s="28">
        <f t="shared" si="42"/>
        <v>218.1</v>
      </c>
      <c r="P49" s="28">
        <f t="shared" si="43"/>
        <v>159.9</v>
      </c>
      <c r="Q49" s="28">
        <f t="shared" si="8"/>
        <v>-58.199999999999989</v>
      </c>
      <c r="R49" s="38">
        <f t="shared" si="44"/>
        <v>73.314993122420915</v>
      </c>
    </row>
    <row r="50" spans="1:19" x14ac:dyDescent="0.25">
      <c r="A50" s="29"/>
      <c r="B50" s="24" t="s">
        <v>71</v>
      </c>
      <c r="C50" s="25" t="s">
        <v>72</v>
      </c>
      <c r="D50" s="26">
        <v>25882.6</v>
      </c>
      <c r="E50" s="26">
        <v>17373.084999999999</v>
      </c>
      <c r="F50" s="26">
        <v>10863.3</v>
      </c>
      <c r="G50" s="26">
        <f t="shared" si="40"/>
        <v>-6509.7849999999999</v>
      </c>
      <c r="H50" s="26">
        <f t="shared" si="6"/>
        <v>62.529481666612462</v>
      </c>
      <c r="I50" s="26">
        <v>0</v>
      </c>
      <c r="J50" s="26">
        <v>0</v>
      </c>
      <c r="K50" s="26">
        <v>0</v>
      </c>
      <c r="L50" s="26">
        <f t="shared" si="41"/>
        <v>0</v>
      </c>
      <c r="M50" s="22">
        <v>0</v>
      </c>
      <c r="N50" s="28">
        <f t="shared" si="42"/>
        <v>25882.6</v>
      </c>
      <c r="O50" s="28">
        <f t="shared" si="42"/>
        <v>17373.084999999999</v>
      </c>
      <c r="P50" s="28">
        <f t="shared" si="43"/>
        <v>10863.3</v>
      </c>
      <c r="Q50" s="28">
        <f t="shared" si="8"/>
        <v>-6509.7849999999999</v>
      </c>
      <c r="R50" s="38">
        <f t="shared" si="44"/>
        <v>62.529481666612462</v>
      </c>
    </row>
    <row r="51" spans="1:19" x14ac:dyDescent="0.25">
      <c r="A51" s="30">
        <v>5</v>
      </c>
      <c r="B51" s="37"/>
      <c r="C51" s="32" t="s">
        <v>73</v>
      </c>
      <c r="D51" s="33">
        <f>SUM(D52:D55)</f>
        <v>22605.735000000001</v>
      </c>
      <c r="E51" s="33">
        <f t="shared" ref="E51:Q51" si="49">SUM(E52:E55)</f>
        <v>13624.840999999999</v>
      </c>
      <c r="F51" s="33">
        <f t="shared" si="49"/>
        <v>12395</v>
      </c>
      <c r="G51" s="33">
        <f t="shared" si="49"/>
        <v>-1229.8409999999994</v>
      </c>
      <c r="H51" s="33">
        <f t="shared" si="6"/>
        <v>90.973538700378242</v>
      </c>
      <c r="I51" s="33">
        <f t="shared" ref="I51:J51" si="50">SUM(I52:I55)</f>
        <v>615.87</v>
      </c>
      <c r="J51" s="33">
        <f t="shared" si="50"/>
        <v>615.87</v>
      </c>
      <c r="K51" s="33">
        <f t="shared" si="49"/>
        <v>246.5</v>
      </c>
      <c r="L51" s="33">
        <f t="shared" si="49"/>
        <v>-369.37000000000006</v>
      </c>
      <c r="M51" s="22">
        <f t="shared" ref="M51:M54" si="51">SUM(K51/J51)*100</f>
        <v>40.024680533229414</v>
      </c>
      <c r="N51" s="33">
        <f t="shared" ref="N51:O51" si="52">SUM(N52:N55)</f>
        <v>23221.605</v>
      </c>
      <c r="O51" s="33">
        <f t="shared" si="52"/>
        <v>14240.710999999999</v>
      </c>
      <c r="P51" s="34">
        <f t="shared" si="49"/>
        <v>12641.5</v>
      </c>
      <c r="Q51" s="34">
        <f t="shared" si="49"/>
        <v>-1599.2109999999991</v>
      </c>
      <c r="R51" s="72">
        <f>SUM(P51/O51)*100</f>
        <v>88.770146378225078</v>
      </c>
      <c r="S51" s="36"/>
    </row>
    <row r="52" spans="1:19" ht="18" customHeight="1" x14ac:dyDescent="0.25">
      <c r="A52" s="29"/>
      <c r="B52" s="24" t="s">
        <v>74</v>
      </c>
      <c r="C52" s="25" t="s">
        <v>75</v>
      </c>
      <c r="D52" s="26">
        <v>3920.3009999999999</v>
      </c>
      <c r="E52" s="26">
        <v>2363.1869999999999</v>
      </c>
      <c r="F52" s="26">
        <v>2109.1</v>
      </c>
      <c r="G52" s="26">
        <f t="shared" ref="G52:G55" si="53">F52-E52</f>
        <v>-254.08699999999999</v>
      </c>
      <c r="H52" s="26">
        <f t="shared" si="6"/>
        <v>89.248121287058538</v>
      </c>
      <c r="I52" s="26">
        <v>84.572999999999993</v>
      </c>
      <c r="J52" s="26">
        <v>84.572999999999993</v>
      </c>
      <c r="K52" s="26">
        <v>39.9</v>
      </c>
      <c r="L52" s="26">
        <f t="shared" si="41"/>
        <v>-44.672999999999995</v>
      </c>
      <c r="M52" s="27">
        <f>SUM(K52/J52)*100</f>
        <v>47.178177432513927</v>
      </c>
      <c r="N52" s="28">
        <f t="shared" ref="N52:O55" si="54">D52+I52</f>
        <v>4004.8739999999998</v>
      </c>
      <c r="O52" s="28">
        <f t="shared" si="54"/>
        <v>2447.7599999999998</v>
      </c>
      <c r="P52" s="28">
        <f>F52+K52</f>
        <v>2149</v>
      </c>
      <c r="Q52" s="28">
        <f t="shared" si="8"/>
        <v>-298.75999999999976</v>
      </c>
      <c r="R52" s="73">
        <f t="shared" ref="R52:R102" si="55">SUM(P52/O52)*100</f>
        <v>87.794555021734169</v>
      </c>
    </row>
    <row r="53" spans="1:19" ht="27" customHeight="1" x14ac:dyDescent="0.25">
      <c r="A53" s="29"/>
      <c r="B53" s="24" t="s">
        <v>76</v>
      </c>
      <c r="C53" s="25" t="s">
        <v>77</v>
      </c>
      <c r="D53" s="26">
        <v>3617.8649999999998</v>
      </c>
      <c r="E53" s="26">
        <v>2242.5360000000001</v>
      </c>
      <c r="F53" s="26">
        <v>1975.4</v>
      </c>
      <c r="G53" s="26">
        <f t="shared" si="53"/>
        <v>-267.13599999999997</v>
      </c>
      <c r="H53" s="26">
        <f t="shared" si="6"/>
        <v>88.087772058062839</v>
      </c>
      <c r="I53" s="26">
        <v>30</v>
      </c>
      <c r="J53" s="26">
        <v>30</v>
      </c>
      <c r="K53" s="26">
        <v>14.7</v>
      </c>
      <c r="L53" s="26">
        <f t="shared" si="41"/>
        <v>-15.3</v>
      </c>
      <c r="M53" s="27">
        <f t="shared" si="51"/>
        <v>49</v>
      </c>
      <c r="N53" s="28">
        <f t="shared" si="54"/>
        <v>3647.8649999999998</v>
      </c>
      <c r="O53" s="28">
        <f t="shared" si="54"/>
        <v>2272.5360000000001</v>
      </c>
      <c r="P53" s="28">
        <f>F53+K53</f>
        <v>1990.1000000000001</v>
      </c>
      <c r="Q53" s="28">
        <f t="shared" si="8"/>
        <v>-282.43599999999992</v>
      </c>
      <c r="R53" s="73">
        <f t="shared" si="55"/>
        <v>87.571770040166584</v>
      </c>
    </row>
    <row r="54" spans="1:19" ht="40.5" customHeight="1" x14ac:dyDescent="0.25">
      <c r="A54" s="29"/>
      <c r="B54" s="24" t="s">
        <v>78</v>
      </c>
      <c r="C54" s="25" t="s">
        <v>79</v>
      </c>
      <c r="D54" s="26">
        <v>10817.787</v>
      </c>
      <c r="E54" s="26">
        <v>6479.36</v>
      </c>
      <c r="F54" s="26">
        <v>5974.5</v>
      </c>
      <c r="G54" s="26">
        <f t="shared" si="53"/>
        <v>-504.85999999999967</v>
      </c>
      <c r="H54" s="26">
        <f t="shared" si="6"/>
        <v>92.20818105491901</v>
      </c>
      <c r="I54" s="26">
        <v>501.29700000000003</v>
      </c>
      <c r="J54" s="26">
        <v>501.29700000000003</v>
      </c>
      <c r="K54" s="26">
        <v>191.9</v>
      </c>
      <c r="L54" s="26">
        <f t="shared" si="41"/>
        <v>-309.39700000000005</v>
      </c>
      <c r="M54" s="27">
        <f t="shared" si="51"/>
        <v>38.280699864551352</v>
      </c>
      <c r="N54" s="28">
        <f t="shared" si="54"/>
        <v>11319.084000000001</v>
      </c>
      <c r="O54" s="28">
        <f t="shared" si="54"/>
        <v>6980.6569999999992</v>
      </c>
      <c r="P54" s="28">
        <f>F54+K54</f>
        <v>6166.4</v>
      </c>
      <c r="Q54" s="28">
        <f t="shared" si="8"/>
        <v>-814.25699999999961</v>
      </c>
      <c r="R54" s="73">
        <f t="shared" si="55"/>
        <v>88.335524865352937</v>
      </c>
    </row>
    <row r="55" spans="1:19" ht="26.25" x14ac:dyDescent="0.25">
      <c r="A55" s="29"/>
      <c r="B55" s="24" t="s">
        <v>80</v>
      </c>
      <c r="C55" s="25" t="s">
        <v>81</v>
      </c>
      <c r="D55" s="26">
        <v>4249.7820000000002</v>
      </c>
      <c r="E55" s="26">
        <v>2539.7579999999998</v>
      </c>
      <c r="F55" s="26">
        <v>2336</v>
      </c>
      <c r="G55" s="26">
        <f t="shared" si="53"/>
        <v>-203.75799999999981</v>
      </c>
      <c r="H55" s="26">
        <f t="shared" si="6"/>
        <v>91.977267125450552</v>
      </c>
      <c r="I55" s="26">
        <v>0</v>
      </c>
      <c r="J55" s="26">
        <v>0</v>
      </c>
      <c r="K55" s="26">
        <v>0</v>
      </c>
      <c r="L55" s="26">
        <f t="shared" si="41"/>
        <v>0</v>
      </c>
      <c r="M55" s="26">
        <v>0</v>
      </c>
      <c r="N55" s="28">
        <f t="shared" si="54"/>
        <v>4249.7820000000002</v>
      </c>
      <c r="O55" s="28">
        <f t="shared" si="54"/>
        <v>2539.7579999999998</v>
      </c>
      <c r="P55" s="28">
        <f>F55+K55</f>
        <v>2336</v>
      </c>
      <c r="Q55" s="28">
        <f t="shared" si="8"/>
        <v>-203.75799999999981</v>
      </c>
      <c r="R55" s="73">
        <f t="shared" si="55"/>
        <v>91.977267125450552</v>
      </c>
    </row>
    <row r="56" spans="1:19" x14ac:dyDescent="0.25">
      <c r="A56" s="30">
        <v>6</v>
      </c>
      <c r="B56" s="39"/>
      <c r="C56" s="17" t="s">
        <v>82</v>
      </c>
      <c r="D56" s="33">
        <f>SUM(D57:D59)</f>
        <v>1467.4079999999999</v>
      </c>
      <c r="E56" s="33">
        <f t="shared" ref="E56:F56" si="56">SUM(E57:E59)</f>
        <v>918.84799999999996</v>
      </c>
      <c r="F56" s="33">
        <f t="shared" si="56"/>
        <v>761.80000000000007</v>
      </c>
      <c r="G56" s="33">
        <f>SUM(G57:G59)</f>
        <v>-145.29999999999995</v>
      </c>
      <c r="H56" s="33">
        <f>SUM(F56/E56)*100</f>
        <v>82.908163265306129</v>
      </c>
      <c r="I56" s="33">
        <f t="shared" ref="I56:M56" si="57">SUM(I57:I59)</f>
        <v>0</v>
      </c>
      <c r="J56" s="33">
        <f t="shared" si="57"/>
        <v>0</v>
      </c>
      <c r="K56" s="33">
        <f t="shared" si="57"/>
        <v>0</v>
      </c>
      <c r="L56" s="33">
        <f t="shared" si="57"/>
        <v>0</v>
      </c>
      <c r="M56" s="33">
        <f t="shared" si="57"/>
        <v>0</v>
      </c>
      <c r="N56" s="33">
        <f>SUM(N57:N59)</f>
        <v>1467.4079999999999</v>
      </c>
      <c r="O56" s="33">
        <f t="shared" ref="O56" si="58">SUM(O57:O59)</f>
        <v>918.84799999999996</v>
      </c>
      <c r="P56" s="33">
        <f t="shared" ref="P56" si="59">SUM(P57:P59)</f>
        <v>761.80000000000007</v>
      </c>
      <c r="Q56" s="33">
        <f>SUM(Q57:Q59)</f>
        <v>-157.04799999999994</v>
      </c>
      <c r="R56" s="33">
        <f t="shared" ref="R56" si="60">SUM(R57:R58)</f>
        <v>83.337155963302763</v>
      </c>
      <c r="S56" s="36"/>
    </row>
    <row r="57" spans="1:19" ht="26.25" x14ac:dyDescent="0.25">
      <c r="A57" s="29"/>
      <c r="B57" s="24" t="s">
        <v>83</v>
      </c>
      <c r="C57" s="25" t="s">
        <v>84</v>
      </c>
      <c r="D57" s="26">
        <f>1062+300</f>
        <v>1362</v>
      </c>
      <c r="E57" s="26">
        <f>692+180</f>
        <v>872</v>
      </c>
      <c r="F57" s="26">
        <v>726.7</v>
      </c>
      <c r="G57" s="26">
        <f>F57-E57</f>
        <v>-145.29999999999995</v>
      </c>
      <c r="H57" s="26">
        <f t="shared" si="6"/>
        <v>83.337155963302763</v>
      </c>
      <c r="I57" s="26">
        <v>0</v>
      </c>
      <c r="J57" s="26">
        <v>0</v>
      </c>
      <c r="K57" s="26">
        <v>0</v>
      </c>
      <c r="L57" s="26">
        <f>K57-J57</f>
        <v>0</v>
      </c>
      <c r="M57" s="26">
        <v>0</v>
      </c>
      <c r="N57" s="28">
        <f>D57+I57</f>
        <v>1362</v>
      </c>
      <c r="O57" s="28">
        <f t="shared" ref="O57" si="61">E57+J57</f>
        <v>872</v>
      </c>
      <c r="P57" s="28">
        <f>F57+K57</f>
        <v>726.7</v>
      </c>
      <c r="Q57" s="28">
        <f t="shared" si="8"/>
        <v>-145.29999999999995</v>
      </c>
      <c r="R57" s="73">
        <f t="shared" si="55"/>
        <v>83.337155963302763</v>
      </c>
    </row>
    <row r="58" spans="1:19" ht="26.25" hidden="1" x14ac:dyDescent="0.25">
      <c r="A58" s="29"/>
      <c r="B58" s="24">
        <v>5040</v>
      </c>
      <c r="C58" s="25" t="s">
        <v>143</v>
      </c>
      <c r="D58" s="26"/>
      <c r="E58" s="26"/>
      <c r="F58" s="26"/>
      <c r="G58" s="26"/>
      <c r="H58" s="26" t="e">
        <f t="shared" si="6"/>
        <v>#DIV/0!</v>
      </c>
      <c r="I58" s="26"/>
      <c r="J58" s="26"/>
      <c r="K58" s="26"/>
      <c r="L58" s="26"/>
      <c r="M58" s="26"/>
      <c r="N58" s="28">
        <f>D58+I58</f>
        <v>0</v>
      </c>
      <c r="O58" s="28">
        <f t="shared" si="43"/>
        <v>0</v>
      </c>
      <c r="P58" s="28">
        <f>F58+K58</f>
        <v>0</v>
      </c>
      <c r="Q58" s="28"/>
      <c r="R58" s="73"/>
    </row>
    <row r="59" spans="1:19" ht="26.25" x14ac:dyDescent="0.25">
      <c r="A59" s="29"/>
      <c r="B59" s="24">
        <v>5040</v>
      </c>
      <c r="C59" s="25" t="s">
        <v>143</v>
      </c>
      <c r="D59" s="26">
        <v>105.408</v>
      </c>
      <c r="E59" s="26">
        <v>46.847999999999999</v>
      </c>
      <c r="F59" s="26">
        <v>35.1</v>
      </c>
      <c r="G59" s="26"/>
      <c r="H59" s="26"/>
      <c r="I59" s="26"/>
      <c r="J59" s="26"/>
      <c r="K59" s="26"/>
      <c r="L59" s="26"/>
      <c r="M59" s="26"/>
      <c r="N59" s="28">
        <f>D59+I59</f>
        <v>105.408</v>
      </c>
      <c r="O59" s="28">
        <f t="shared" si="43"/>
        <v>46.847999999999999</v>
      </c>
      <c r="P59" s="28">
        <f>F59+K59</f>
        <v>35.1</v>
      </c>
      <c r="Q59" s="28">
        <f t="shared" ref="Q59" si="62">P59-O59</f>
        <v>-11.747999999999998</v>
      </c>
      <c r="R59" s="73">
        <f t="shared" ref="R59" si="63">SUM(P59/O59)*100</f>
        <v>74.923155737704931</v>
      </c>
    </row>
    <row r="60" spans="1:19" x14ac:dyDescent="0.25">
      <c r="A60" s="30">
        <v>7</v>
      </c>
      <c r="B60" s="37"/>
      <c r="C60" s="17" t="s">
        <v>85</v>
      </c>
      <c r="D60" s="33">
        <f>SUM(D61:D63)</f>
        <v>72357.09</v>
      </c>
      <c r="E60" s="33">
        <f>SUM(E61:E63)</f>
        <v>47182.506000000001</v>
      </c>
      <c r="F60" s="33">
        <f>SUM(F61:F63)</f>
        <v>39573.199999999997</v>
      </c>
      <c r="G60" s="33">
        <f>SUM(G61:G63)</f>
        <v>-4879.5060000000012</v>
      </c>
      <c r="H60" s="33">
        <f>SUM(F60/E60)*100</f>
        <v>83.872611598883694</v>
      </c>
      <c r="I60" s="33">
        <f t="shared" ref="I60:J60" si="64">SUM(I61:I63)</f>
        <v>2659.145</v>
      </c>
      <c r="J60" s="33">
        <f t="shared" si="64"/>
        <v>2614.145</v>
      </c>
      <c r="K60" s="33">
        <f>SUM(K61:K63)</f>
        <v>39.799999999999997</v>
      </c>
      <c r="L60" s="33">
        <f>SUM(L61:L63)</f>
        <v>-516.79000000000008</v>
      </c>
      <c r="M60" s="27">
        <f t="shared" ref="M60" si="65">SUM(K60/J60)*100</f>
        <v>1.5224863196188427</v>
      </c>
      <c r="N60" s="33">
        <f t="shared" ref="N60:O60" si="66">SUM(N61:N63)</f>
        <v>75016.234999999986</v>
      </c>
      <c r="O60" s="33">
        <f t="shared" si="66"/>
        <v>49796.650999999998</v>
      </c>
      <c r="P60" s="34">
        <f>SUM(P61:P63)</f>
        <v>39613</v>
      </c>
      <c r="Q60" s="34">
        <f>SUM(Q61:Q63)</f>
        <v>-10183.650999999994</v>
      </c>
      <c r="R60" s="72">
        <f t="shared" si="55"/>
        <v>79.549526332604188</v>
      </c>
      <c r="S60" s="36"/>
    </row>
    <row r="61" spans="1:19" ht="39" x14ac:dyDescent="0.25">
      <c r="A61" s="29"/>
      <c r="B61" s="24">
        <v>6010</v>
      </c>
      <c r="C61" s="25" t="s">
        <v>86</v>
      </c>
      <c r="D61" s="26">
        <v>1926</v>
      </c>
      <c r="E61" s="26">
        <v>1926</v>
      </c>
      <c r="F61" s="26"/>
      <c r="G61" s="26"/>
      <c r="H61" s="26">
        <v>0</v>
      </c>
      <c r="I61" s="40">
        <f>1142.923+914.632</f>
        <v>2057.5549999999998</v>
      </c>
      <c r="J61" s="40">
        <f>1142.923+914.632</f>
        <v>2057.5549999999998</v>
      </c>
      <c r="K61" s="40"/>
      <c r="L61" s="26"/>
      <c r="M61" s="26"/>
      <c r="N61" s="28">
        <f>D61+I61</f>
        <v>3983.5549999999998</v>
      </c>
      <c r="O61" s="28">
        <f>E61+J61</f>
        <v>3983.5549999999998</v>
      </c>
      <c r="P61" s="28">
        <f>F61+K61</f>
        <v>0</v>
      </c>
      <c r="Q61" s="28">
        <f>P61-O61</f>
        <v>-3983.5549999999998</v>
      </c>
      <c r="R61" s="73">
        <f>SUM(P61/O61)*100</f>
        <v>0</v>
      </c>
    </row>
    <row r="62" spans="1:19" ht="27" customHeight="1" x14ac:dyDescent="0.25">
      <c r="A62" s="29"/>
      <c r="B62" s="24" t="s">
        <v>87</v>
      </c>
      <c r="C62" s="25" t="s">
        <v>88</v>
      </c>
      <c r="D62" s="26">
        <v>68531.09</v>
      </c>
      <c r="E62" s="26">
        <v>43356.506000000001</v>
      </c>
      <c r="F62" s="26">
        <v>38477</v>
      </c>
      <c r="G62" s="26">
        <f>F62-E62</f>
        <v>-4879.5060000000012</v>
      </c>
      <c r="H62" s="26">
        <f t="shared" si="6"/>
        <v>88.745619861526663</v>
      </c>
      <c r="I62" s="40">
        <v>601.59</v>
      </c>
      <c r="J62" s="40">
        <v>556.59</v>
      </c>
      <c r="K62" s="26">
        <v>39.799999999999997</v>
      </c>
      <c r="L62" s="26">
        <f t="shared" ref="L62" si="67">K62-J62</f>
        <v>-516.79000000000008</v>
      </c>
      <c r="M62" s="27">
        <f t="shared" ref="M62" si="68">SUM(K62/J62)*100</f>
        <v>7.1506854237409936</v>
      </c>
      <c r="N62" s="28">
        <f>D62+I62</f>
        <v>69132.679999999993</v>
      </c>
      <c r="O62" s="28">
        <f t="shared" ref="O62" si="69">E62+J62</f>
        <v>43913.095999999998</v>
      </c>
      <c r="P62" s="28">
        <f>F62+K62</f>
        <v>38516.800000000003</v>
      </c>
      <c r="Q62" s="28">
        <f t="shared" si="8"/>
        <v>-5396.2959999999948</v>
      </c>
      <c r="R62" s="73">
        <f t="shared" si="55"/>
        <v>87.7114198461434</v>
      </c>
    </row>
    <row r="63" spans="1:19" ht="26.25" x14ac:dyDescent="0.25">
      <c r="A63" s="29"/>
      <c r="B63" s="24">
        <v>6090</v>
      </c>
      <c r="C63" s="25" t="s">
        <v>157</v>
      </c>
      <c r="D63" s="26">
        <v>1900</v>
      </c>
      <c r="E63" s="26">
        <v>1900</v>
      </c>
      <c r="F63" s="26">
        <v>1096.2</v>
      </c>
      <c r="G63" s="26"/>
      <c r="H63" s="26"/>
      <c r="I63" s="40"/>
      <c r="J63" s="40"/>
      <c r="K63" s="40"/>
      <c r="L63" s="26">
        <f>K63-J63</f>
        <v>0</v>
      </c>
      <c r="M63" s="26">
        <v>0</v>
      </c>
      <c r="N63" s="28">
        <f>D63+I63</f>
        <v>1900</v>
      </c>
      <c r="O63" s="28">
        <f t="shared" si="43"/>
        <v>1900</v>
      </c>
      <c r="P63" s="28">
        <f>F63+K63</f>
        <v>1096.2</v>
      </c>
      <c r="Q63" s="28">
        <f t="shared" si="8"/>
        <v>-803.8</v>
      </c>
      <c r="R63" s="73">
        <v>0</v>
      </c>
    </row>
    <row r="64" spans="1:19" x14ac:dyDescent="0.25">
      <c r="A64" s="30">
        <v>8</v>
      </c>
      <c r="B64" s="39"/>
      <c r="C64" s="17" t="s">
        <v>89</v>
      </c>
      <c r="D64" s="33">
        <f>SUM(D65:D79)</f>
        <v>13713.322</v>
      </c>
      <c r="E64" s="33">
        <f t="shared" ref="E64:Q64" si="70">SUM(E65:E79)</f>
        <v>10659.827000000001</v>
      </c>
      <c r="F64" s="33">
        <f t="shared" si="70"/>
        <v>8455.1</v>
      </c>
      <c r="G64" s="33">
        <f t="shared" si="70"/>
        <v>-1904.7269999999999</v>
      </c>
      <c r="H64" s="33">
        <f t="shared" si="70"/>
        <v>173.33170980051278</v>
      </c>
      <c r="I64" s="33">
        <f t="shared" si="70"/>
        <v>11584.414000000001</v>
      </c>
      <c r="J64" s="33">
        <f t="shared" si="70"/>
        <v>11584.454000000002</v>
      </c>
      <c r="K64" s="33">
        <f t="shared" si="70"/>
        <v>5816.2999999999993</v>
      </c>
      <c r="L64" s="33">
        <f t="shared" si="70"/>
        <v>-5539.8930000000009</v>
      </c>
      <c r="M64" s="33">
        <f t="shared" si="70"/>
        <v>259.54063299916885</v>
      </c>
      <c r="N64" s="33">
        <f t="shared" si="70"/>
        <v>25069.474999999999</v>
      </c>
      <c r="O64" s="33">
        <f t="shared" si="70"/>
        <v>22016.020000000004</v>
      </c>
      <c r="P64" s="33">
        <f t="shared" si="70"/>
        <v>14271.399999999998</v>
      </c>
      <c r="Q64" s="33">
        <f t="shared" si="70"/>
        <v>-7744.6200000000017</v>
      </c>
      <c r="R64" s="73">
        <v>0</v>
      </c>
      <c r="S64" s="36"/>
    </row>
    <row r="65" spans="1:19" ht="24.75" customHeight="1" x14ac:dyDescent="0.25">
      <c r="A65" s="29"/>
      <c r="B65" s="24" t="s">
        <v>90</v>
      </c>
      <c r="C65" s="25" t="s">
        <v>91</v>
      </c>
      <c r="D65" s="26">
        <v>252</v>
      </c>
      <c r="E65" s="26">
        <v>202</v>
      </c>
      <c r="F65" s="26">
        <v>46</v>
      </c>
      <c r="G65" s="26">
        <f t="shared" ref="G65:G77" si="71">F65-E65</f>
        <v>-156</v>
      </c>
      <c r="H65" s="26">
        <v>0</v>
      </c>
      <c r="I65" s="26">
        <v>0</v>
      </c>
      <c r="J65" s="26">
        <v>0</v>
      </c>
      <c r="K65" s="26">
        <v>0</v>
      </c>
      <c r="L65" s="26">
        <f t="shared" ref="L65:L66" si="72">K65-J65</f>
        <v>0</v>
      </c>
      <c r="M65" s="26">
        <v>0</v>
      </c>
      <c r="N65" s="28">
        <f t="shared" ref="N65:O93" si="73">D65+I65</f>
        <v>252</v>
      </c>
      <c r="O65" s="28">
        <f t="shared" si="73"/>
        <v>202</v>
      </c>
      <c r="P65" s="28">
        <f t="shared" si="43"/>
        <v>46</v>
      </c>
      <c r="Q65" s="28">
        <f t="shared" si="8"/>
        <v>-156</v>
      </c>
      <c r="R65" s="73">
        <v>0</v>
      </c>
      <c r="S65" s="41"/>
    </row>
    <row r="66" spans="1:19" ht="12.75" customHeight="1" x14ac:dyDescent="0.25">
      <c r="A66" s="29"/>
      <c r="B66" s="24" t="s">
        <v>92</v>
      </c>
      <c r="C66" s="25" t="s">
        <v>99</v>
      </c>
      <c r="D66" s="26">
        <v>0</v>
      </c>
      <c r="E66" s="26">
        <v>0</v>
      </c>
      <c r="F66" s="26">
        <v>0</v>
      </c>
      <c r="G66" s="26">
        <f t="shared" si="71"/>
        <v>0</v>
      </c>
      <c r="H66" s="26">
        <v>0</v>
      </c>
      <c r="I66" s="26">
        <v>0</v>
      </c>
      <c r="J66" s="26">
        <v>0</v>
      </c>
      <c r="K66" s="26">
        <v>0</v>
      </c>
      <c r="L66" s="26">
        <f t="shared" si="72"/>
        <v>0</v>
      </c>
      <c r="M66" s="26">
        <v>0</v>
      </c>
      <c r="N66" s="28">
        <f t="shared" si="73"/>
        <v>0</v>
      </c>
      <c r="O66" s="28">
        <f t="shared" si="73"/>
        <v>0</v>
      </c>
      <c r="P66" s="28">
        <f t="shared" si="43"/>
        <v>0</v>
      </c>
      <c r="Q66" s="28">
        <f t="shared" si="8"/>
        <v>0</v>
      </c>
      <c r="R66" s="73">
        <v>0</v>
      </c>
      <c r="S66" s="41"/>
    </row>
    <row r="67" spans="1:19" ht="13.5" customHeight="1" x14ac:dyDescent="0.25">
      <c r="A67" s="29"/>
      <c r="B67" s="24" t="s">
        <v>93</v>
      </c>
      <c r="C67" s="25" t="s">
        <v>94</v>
      </c>
      <c r="D67" s="26">
        <v>0</v>
      </c>
      <c r="E67" s="26">
        <v>0</v>
      </c>
      <c r="F67" s="26">
        <v>0</v>
      </c>
      <c r="G67" s="26">
        <f t="shared" si="71"/>
        <v>0</v>
      </c>
      <c r="H67" s="26">
        <v>0</v>
      </c>
      <c r="I67" s="26">
        <v>9556.3230000000003</v>
      </c>
      <c r="J67" s="26">
        <v>9556.3230000000003</v>
      </c>
      <c r="K67" s="26">
        <v>5695.4</v>
      </c>
      <c r="L67" s="26">
        <f t="shared" ref="L67:L78" si="74">K67-J67</f>
        <v>-3860.9230000000007</v>
      </c>
      <c r="M67" s="27">
        <f t="shared" ref="M67" si="75">SUM(K67/J67)*100</f>
        <v>59.598236685804771</v>
      </c>
      <c r="N67" s="28">
        <f t="shared" si="73"/>
        <v>9556.3230000000003</v>
      </c>
      <c r="O67" s="28">
        <f t="shared" si="73"/>
        <v>9556.3230000000003</v>
      </c>
      <c r="P67" s="28">
        <f t="shared" si="43"/>
        <v>5695.4</v>
      </c>
      <c r="Q67" s="28">
        <f t="shared" si="8"/>
        <v>-3860.9230000000007</v>
      </c>
      <c r="R67" s="73">
        <v>0</v>
      </c>
      <c r="S67" s="41"/>
    </row>
    <row r="68" spans="1:19" ht="24" hidden="1" customHeight="1" x14ac:dyDescent="0.25">
      <c r="A68" s="29"/>
      <c r="B68" s="24" t="s">
        <v>95</v>
      </c>
      <c r="C68" s="25" t="s">
        <v>96</v>
      </c>
      <c r="D68" s="26"/>
      <c r="E68" s="26"/>
      <c r="F68" s="26"/>
      <c r="G68" s="26">
        <f t="shared" si="71"/>
        <v>0</v>
      </c>
      <c r="H68" s="26">
        <v>0</v>
      </c>
      <c r="I68" s="26"/>
      <c r="J68" s="26"/>
      <c r="K68" s="26"/>
      <c r="L68" s="26"/>
      <c r="M68" s="26">
        <v>0</v>
      </c>
      <c r="N68" s="28">
        <f t="shared" si="73"/>
        <v>0</v>
      </c>
      <c r="O68" s="28">
        <f t="shared" si="73"/>
        <v>0</v>
      </c>
      <c r="P68" s="28">
        <f t="shared" si="43"/>
        <v>0</v>
      </c>
      <c r="Q68" s="28">
        <f t="shared" si="8"/>
        <v>0</v>
      </c>
      <c r="R68" s="73" t="e">
        <f t="shared" si="55"/>
        <v>#DIV/0!</v>
      </c>
      <c r="S68" s="41"/>
    </row>
    <row r="69" spans="1:19" ht="36" hidden="1" customHeight="1" x14ac:dyDescent="0.25">
      <c r="A69" s="29"/>
      <c r="B69" s="24" t="s">
        <v>97</v>
      </c>
      <c r="C69" s="25" t="s">
        <v>98</v>
      </c>
      <c r="D69" s="26"/>
      <c r="E69" s="26"/>
      <c r="F69" s="26"/>
      <c r="G69" s="26">
        <f t="shared" si="71"/>
        <v>0</v>
      </c>
      <c r="H69" s="26">
        <v>0</v>
      </c>
      <c r="I69" s="26"/>
      <c r="J69" s="26"/>
      <c r="K69" s="26"/>
      <c r="L69" s="26"/>
      <c r="M69" s="26">
        <v>0</v>
      </c>
      <c r="N69" s="28">
        <f t="shared" si="73"/>
        <v>0</v>
      </c>
      <c r="O69" s="28">
        <f t="shared" si="73"/>
        <v>0</v>
      </c>
      <c r="P69" s="28">
        <f t="shared" si="43"/>
        <v>0</v>
      </c>
      <c r="Q69" s="28">
        <f t="shared" si="8"/>
        <v>0</v>
      </c>
      <c r="R69" s="73" t="e">
        <f t="shared" si="55"/>
        <v>#DIV/0!</v>
      </c>
      <c r="S69" s="41"/>
    </row>
    <row r="70" spans="1:19" ht="42" customHeight="1" x14ac:dyDescent="0.25">
      <c r="A70" s="29"/>
      <c r="B70" s="24">
        <v>7350</v>
      </c>
      <c r="C70" s="25" t="s">
        <v>154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69.400000000000006</v>
      </c>
      <c r="J70" s="26">
        <v>69.44</v>
      </c>
      <c r="K70" s="26">
        <v>69.400000000000006</v>
      </c>
      <c r="L70" s="26">
        <f t="shared" si="74"/>
        <v>-3.9999999999992042E-2</v>
      </c>
      <c r="M70" s="27">
        <f t="shared" ref="M70:M78" si="76">SUM(K70/J70)*100</f>
        <v>99.942396313364071</v>
      </c>
      <c r="N70" s="28">
        <f t="shared" ref="N70" si="77">D70+I70</f>
        <v>69.400000000000006</v>
      </c>
      <c r="O70" s="28">
        <f t="shared" ref="O70" si="78">E70+J70</f>
        <v>69.44</v>
      </c>
      <c r="P70" s="28">
        <f t="shared" ref="P70" si="79">F70+K70</f>
        <v>69.400000000000006</v>
      </c>
      <c r="Q70" s="28">
        <f t="shared" ref="Q70" si="80">P70-O70</f>
        <v>-3.9999999999992042E-2</v>
      </c>
      <c r="R70" s="73">
        <f t="shared" ref="R70" si="81">SUM(P70/O70)*100</f>
        <v>99.942396313364071</v>
      </c>
      <c r="S70" s="41"/>
    </row>
    <row r="71" spans="1:19" ht="42" customHeight="1" x14ac:dyDescent="0.25">
      <c r="A71" s="29"/>
      <c r="B71" s="24">
        <v>7370</v>
      </c>
      <c r="C71" s="25" t="s">
        <v>98</v>
      </c>
      <c r="D71" s="26"/>
      <c r="E71" s="26"/>
      <c r="F71" s="26"/>
      <c r="G71" s="26"/>
      <c r="H71" s="26"/>
      <c r="I71" s="26">
        <v>228.261</v>
      </c>
      <c r="J71" s="26">
        <v>228.261</v>
      </c>
      <c r="K71" s="26"/>
      <c r="L71" s="26"/>
      <c r="M71" s="27"/>
      <c r="N71" s="28"/>
      <c r="O71" s="28"/>
      <c r="P71" s="28"/>
      <c r="Q71" s="28"/>
      <c r="R71" s="73"/>
      <c r="S71" s="41"/>
    </row>
    <row r="72" spans="1:19" ht="39" x14ac:dyDescent="0.25">
      <c r="A72" s="29"/>
      <c r="B72" s="24" t="s">
        <v>100</v>
      </c>
      <c r="C72" s="25" t="s">
        <v>101</v>
      </c>
      <c r="D72" s="26">
        <v>4027.8679999999999</v>
      </c>
      <c r="E72" s="26">
        <v>2847.4140000000002</v>
      </c>
      <c r="F72" s="26">
        <v>2699.3</v>
      </c>
      <c r="G72" s="26">
        <f t="shared" si="71"/>
        <v>-148.11400000000003</v>
      </c>
      <c r="H72" s="26">
        <f t="shared" si="6"/>
        <v>94.798297683441888</v>
      </c>
      <c r="I72" s="26">
        <v>0</v>
      </c>
      <c r="J72" s="26">
        <v>0</v>
      </c>
      <c r="K72" s="26">
        <v>0</v>
      </c>
      <c r="L72" s="26">
        <f t="shared" si="74"/>
        <v>0</v>
      </c>
      <c r="M72" s="27">
        <v>0</v>
      </c>
      <c r="N72" s="28">
        <f t="shared" si="73"/>
        <v>4027.8679999999999</v>
      </c>
      <c r="O72" s="28">
        <f t="shared" si="73"/>
        <v>2847.4140000000002</v>
      </c>
      <c r="P72" s="28">
        <f t="shared" si="43"/>
        <v>2699.3</v>
      </c>
      <c r="Q72" s="28">
        <f t="shared" si="8"/>
        <v>-148.11400000000003</v>
      </c>
      <c r="R72" s="73">
        <f t="shared" si="55"/>
        <v>94.798297683441888</v>
      </c>
      <c r="S72" s="41"/>
    </row>
    <row r="73" spans="1:19" ht="29.25" customHeight="1" x14ac:dyDescent="0.25">
      <c r="A73" s="29"/>
      <c r="B73" s="24" t="s">
        <v>102</v>
      </c>
      <c r="C73" s="25" t="s">
        <v>103</v>
      </c>
      <c r="D73" s="26">
        <v>9093.5769999999993</v>
      </c>
      <c r="E73" s="26">
        <v>7270.5360000000001</v>
      </c>
      <c r="F73" s="26">
        <v>5709.8</v>
      </c>
      <c r="G73" s="26">
        <f t="shared" si="71"/>
        <v>-1560.7359999999999</v>
      </c>
      <c r="H73" s="26">
        <f t="shared" si="6"/>
        <v>78.533412117070881</v>
      </c>
      <c r="I73" s="26">
        <v>1678.93</v>
      </c>
      <c r="J73" s="26">
        <v>1678.93</v>
      </c>
      <c r="K73" s="26">
        <v>0</v>
      </c>
      <c r="L73" s="26">
        <f t="shared" si="74"/>
        <v>-1678.93</v>
      </c>
      <c r="M73" s="27">
        <v>0</v>
      </c>
      <c r="N73" s="28">
        <f t="shared" si="73"/>
        <v>10772.507</v>
      </c>
      <c r="O73" s="28">
        <f t="shared" si="73"/>
        <v>8949.4660000000003</v>
      </c>
      <c r="P73" s="28">
        <f t="shared" si="43"/>
        <v>5709.8</v>
      </c>
      <c r="Q73" s="28">
        <f t="shared" si="8"/>
        <v>-3239.6660000000002</v>
      </c>
      <c r="R73" s="73">
        <f t="shared" si="55"/>
        <v>63.800454686346654</v>
      </c>
      <c r="S73" s="41"/>
    </row>
    <row r="74" spans="1:19" ht="26.25" x14ac:dyDescent="0.25">
      <c r="A74" s="29"/>
      <c r="B74" s="24" t="s">
        <v>104</v>
      </c>
      <c r="C74" s="25" t="s">
        <v>105</v>
      </c>
      <c r="D74" s="26">
        <v>0</v>
      </c>
      <c r="E74" s="26">
        <v>0</v>
      </c>
      <c r="F74" s="26">
        <v>0</v>
      </c>
      <c r="G74" s="26">
        <f t="shared" si="71"/>
        <v>0</v>
      </c>
      <c r="H74" s="26">
        <v>0</v>
      </c>
      <c r="I74" s="26">
        <v>0</v>
      </c>
      <c r="J74" s="26">
        <v>0</v>
      </c>
      <c r="K74" s="26">
        <v>0</v>
      </c>
      <c r="L74" s="26">
        <f t="shared" si="74"/>
        <v>0</v>
      </c>
      <c r="M74" s="27">
        <v>0</v>
      </c>
      <c r="N74" s="28">
        <f t="shared" si="73"/>
        <v>0</v>
      </c>
      <c r="O74" s="28">
        <f t="shared" si="73"/>
        <v>0</v>
      </c>
      <c r="P74" s="28">
        <f t="shared" si="43"/>
        <v>0</v>
      </c>
      <c r="Q74" s="28">
        <f t="shared" si="8"/>
        <v>0</v>
      </c>
      <c r="R74" s="73">
        <v>0</v>
      </c>
      <c r="S74" s="41"/>
    </row>
    <row r="75" spans="1:19" ht="39" x14ac:dyDescent="0.25">
      <c r="A75" s="29"/>
      <c r="B75" s="24" t="s">
        <v>106</v>
      </c>
      <c r="C75" s="25" t="s">
        <v>107</v>
      </c>
      <c r="D75" s="26">
        <v>0</v>
      </c>
      <c r="E75" s="26">
        <v>0</v>
      </c>
      <c r="F75" s="26">
        <v>0</v>
      </c>
      <c r="G75" s="26">
        <f t="shared" si="71"/>
        <v>0</v>
      </c>
      <c r="H75" s="26">
        <v>0</v>
      </c>
      <c r="I75" s="26">
        <v>7</v>
      </c>
      <c r="J75" s="26">
        <v>7</v>
      </c>
      <c r="K75" s="26">
        <v>7</v>
      </c>
      <c r="L75" s="26">
        <f t="shared" si="74"/>
        <v>0</v>
      </c>
      <c r="M75" s="27">
        <v>0</v>
      </c>
      <c r="N75" s="28">
        <f t="shared" si="73"/>
        <v>7</v>
      </c>
      <c r="O75" s="28">
        <f t="shared" si="73"/>
        <v>7</v>
      </c>
      <c r="P75" s="28">
        <f t="shared" si="43"/>
        <v>7</v>
      </c>
      <c r="Q75" s="28">
        <f t="shared" si="8"/>
        <v>0</v>
      </c>
      <c r="R75" s="73">
        <v>0</v>
      </c>
      <c r="S75" s="41"/>
    </row>
    <row r="76" spans="1:19" ht="26.25" x14ac:dyDescent="0.25">
      <c r="A76" s="29"/>
      <c r="B76" s="24" t="s">
        <v>108</v>
      </c>
      <c r="C76" s="25" t="s">
        <v>109</v>
      </c>
      <c r="D76" s="26">
        <v>0</v>
      </c>
      <c r="E76" s="26">
        <v>0</v>
      </c>
      <c r="F76" s="26">
        <v>0</v>
      </c>
      <c r="G76" s="26">
        <f t="shared" si="71"/>
        <v>0</v>
      </c>
      <c r="H76" s="26">
        <v>0</v>
      </c>
      <c r="I76" s="26">
        <v>0</v>
      </c>
      <c r="J76" s="26">
        <v>0</v>
      </c>
      <c r="K76" s="26">
        <v>0</v>
      </c>
      <c r="L76" s="26">
        <f t="shared" si="74"/>
        <v>0</v>
      </c>
      <c r="M76" s="27">
        <v>0</v>
      </c>
      <c r="N76" s="28">
        <f t="shared" si="73"/>
        <v>0</v>
      </c>
      <c r="O76" s="28">
        <f t="shared" si="73"/>
        <v>0</v>
      </c>
      <c r="P76" s="28">
        <f t="shared" si="43"/>
        <v>0</v>
      </c>
      <c r="Q76" s="28">
        <f t="shared" si="8"/>
        <v>0</v>
      </c>
      <c r="R76" s="73">
        <v>0</v>
      </c>
      <c r="S76" s="41"/>
    </row>
    <row r="77" spans="1:19" ht="30" customHeight="1" x14ac:dyDescent="0.25">
      <c r="A77" s="29"/>
      <c r="B77" s="24" t="s">
        <v>110</v>
      </c>
      <c r="C77" s="25" t="s">
        <v>111</v>
      </c>
      <c r="D77" s="26">
        <v>39.877000000000002</v>
      </c>
      <c r="E77" s="26">
        <v>39.877000000000002</v>
      </c>
      <c r="F77" s="26">
        <v>0</v>
      </c>
      <c r="G77" s="26">
        <f t="shared" si="71"/>
        <v>-39.877000000000002</v>
      </c>
      <c r="H77" s="26">
        <v>0</v>
      </c>
      <c r="I77" s="26">
        <v>0</v>
      </c>
      <c r="J77" s="26">
        <v>0</v>
      </c>
      <c r="K77" s="26">
        <v>0</v>
      </c>
      <c r="L77" s="26">
        <f t="shared" si="74"/>
        <v>0</v>
      </c>
      <c r="M77" s="27">
        <v>0</v>
      </c>
      <c r="N77" s="28">
        <f t="shared" si="73"/>
        <v>39.877000000000002</v>
      </c>
      <c r="O77" s="28">
        <f t="shared" si="73"/>
        <v>39.877000000000002</v>
      </c>
      <c r="P77" s="28">
        <f t="shared" si="43"/>
        <v>0</v>
      </c>
      <c r="Q77" s="28">
        <f t="shared" si="8"/>
        <v>-39.877000000000002</v>
      </c>
      <c r="R77" s="73">
        <v>0</v>
      </c>
      <c r="S77" s="41"/>
    </row>
    <row r="78" spans="1:19" ht="107.25" customHeight="1" x14ac:dyDescent="0.25">
      <c r="A78" s="29"/>
      <c r="B78" s="24">
        <v>7691</v>
      </c>
      <c r="C78" s="25" t="s">
        <v>155</v>
      </c>
      <c r="D78" s="26">
        <v>0</v>
      </c>
      <c r="E78" s="26">
        <v>0</v>
      </c>
      <c r="F78" s="26">
        <v>0</v>
      </c>
      <c r="G78" s="26">
        <v>0</v>
      </c>
      <c r="H78" s="26"/>
      <c r="I78" s="26">
        <v>44.5</v>
      </c>
      <c r="J78" s="26">
        <v>44.5</v>
      </c>
      <c r="K78" s="26">
        <v>44.5</v>
      </c>
      <c r="L78" s="26">
        <f t="shared" si="74"/>
        <v>0</v>
      </c>
      <c r="M78" s="27">
        <f t="shared" si="76"/>
        <v>100</v>
      </c>
      <c r="N78" s="28">
        <f t="shared" ref="N78" si="82">D78+I78</f>
        <v>44.5</v>
      </c>
      <c r="O78" s="28">
        <f t="shared" ref="O78" si="83">E78+J78</f>
        <v>44.5</v>
      </c>
      <c r="P78" s="28">
        <f t="shared" ref="P78" si="84">F78+K78</f>
        <v>44.5</v>
      </c>
      <c r="Q78" s="28">
        <f t="shared" ref="Q78" si="85">P78-O78</f>
        <v>0</v>
      </c>
      <c r="R78" s="73">
        <v>0</v>
      </c>
      <c r="S78" s="41"/>
    </row>
    <row r="79" spans="1:19" ht="26.25" x14ac:dyDescent="0.25">
      <c r="A79" s="29"/>
      <c r="B79" s="24">
        <v>7693</v>
      </c>
      <c r="C79" s="25" t="s">
        <v>162</v>
      </c>
      <c r="D79" s="26">
        <v>300</v>
      </c>
      <c r="E79" s="26">
        <v>300</v>
      </c>
      <c r="F79" s="26"/>
      <c r="G79" s="26">
        <v>0</v>
      </c>
      <c r="H79" s="26">
        <v>0</v>
      </c>
      <c r="I79" s="26"/>
      <c r="J79" s="26"/>
      <c r="K79" s="26"/>
      <c r="L79" s="26">
        <f t="shared" ref="L79" si="86">K79-J79</f>
        <v>0</v>
      </c>
      <c r="M79" s="27"/>
      <c r="N79" s="28">
        <f t="shared" ref="N79" si="87">D79+I79</f>
        <v>300</v>
      </c>
      <c r="O79" s="28">
        <f t="shared" ref="O79" si="88">E79+J79</f>
        <v>300</v>
      </c>
      <c r="P79" s="28">
        <f t="shared" ref="P79" si="89">F79+K79</f>
        <v>0</v>
      </c>
      <c r="Q79" s="28">
        <f t="shared" ref="Q79" si="90">P79-O79</f>
        <v>-300</v>
      </c>
      <c r="R79" s="73">
        <v>0</v>
      </c>
      <c r="S79" s="41"/>
    </row>
    <row r="80" spans="1:19" x14ac:dyDescent="0.25">
      <c r="A80" s="30">
        <v>9</v>
      </c>
      <c r="B80" s="39"/>
      <c r="C80" s="17" t="s">
        <v>112</v>
      </c>
      <c r="D80" s="33">
        <f>SUM(D81:D86)</f>
        <v>79295.002999999997</v>
      </c>
      <c r="E80" s="33">
        <f t="shared" ref="E80:F80" si="91">SUM(E81:E86)</f>
        <v>56643.838000000003</v>
      </c>
      <c r="F80" s="33">
        <f t="shared" si="91"/>
        <v>28219.8</v>
      </c>
      <c r="G80" s="33">
        <f>SUM(G81:G86)</f>
        <v>-28424.037999999997</v>
      </c>
      <c r="H80" s="33">
        <f>SUM(F80/E80)*100</f>
        <v>49.8197173715524</v>
      </c>
      <c r="I80" s="33">
        <f t="shared" ref="I80:K80" si="92">SUM(I81:I86)</f>
        <v>1999.5800000000002</v>
      </c>
      <c r="J80" s="33">
        <f t="shared" si="92"/>
        <v>1891.78</v>
      </c>
      <c r="K80" s="33">
        <f t="shared" si="92"/>
        <v>963.5</v>
      </c>
      <c r="L80" s="33">
        <f>SUM(L81:L86)</f>
        <v>-928.28000000000009</v>
      </c>
      <c r="M80" s="26">
        <v>0</v>
      </c>
      <c r="N80" s="33">
        <f t="shared" ref="N80:P80" si="93">SUM(N81:N86)</f>
        <v>81294.583000000013</v>
      </c>
      <c r="O80" s="33">
        <f t="shared" si="93"/>
        <v>58535.618000000002</v>
      </c>
      <c r="P80" s="33">
        <f t="shared" si="93"/>
        <v>29183.3</v>
      </c>
      <c r="Q80" s="34">
        <f>SUM(Q81+Q82+Q84+Q85+Q86+Q87)</f>
        <v>-29329.764999999999</v>
      </c>
      <c r="R80" s="72">
        <f t="shared" si="55"/>
        <v>49.855628072466921</v>
      </c>
      <c r="S80" s="36"/>
    </row>
    <row r="81" spans="1:19" ht="39" x14ac:dyDescent="0.25">
      <c r="A81" s="29"/>
      <c r="B81" s="24" t="s">
        <v>113</v>
      </c>
      <c r="C81" s="25" t="s">
        <v>114</v>
      </c>
      <c r="D81" s="26">
        <v>2102.6289999999999</v>
      </c>
      <c r="E81" s="26">
        <v>2102.6289999999999</v>
      </c>
      <c r="F81" s="26">
        <v>252.1</v>
      </c>
      <c r="G81" s="26">
        <f t="shared" ref="G81:G87" si="94">F81-E81</f>
        <v>-1850.529</v>
      </c>
      <c r="H81" s="26">
        <f t="shared" si="6"/>
        <v>11.989751877292667</v>
      </c>
      <c r="I81" s="26">
        <v>739</v>
      </c>
      <c r="J81" s="26">
        <v>739</v>
      </c>
      <c r="K81" s="26">
        <v>0</v>
      </c>
      <c r="L81" s="26">
        <f t="shared" ref="L81:L86" si="95">K81-J81</f>
        <v>-739</v>
      </c>
      <c r="M81" s="26">
        <v>0</v>
      </c>
      <c r="N81" s="28">
        <f t="shared" si="73"/>
        <v>2841.6289999999999</v>
      </c>
      <c r="O81" s="28">
        <f t="shared" si="73"/>
        <v>2841.6289999999999</v>
      </c>
      <c r="P81" s="28">
        <f t="shared" si="43"/>
        <v>252.1</v>
      </c>
      <c r="Q81" s="28">
        <f t="shared" si="8"/>
        <v>-2589.529</v>
      </c>
      <c r="R81" s="73">
        <f t="shared" si="55"/>
        <v>8.8716718473804992</v>
      </c>
    </row>
    <row r="82" spans="1:19" ht="26.25" x14ac:dyDescent="0.25">
      <c r="A82" s="23"/>
      <c r="B82" s="24">
        <v>8240</v>
      </c>
      <c r="C82" s="25" t="s">
        <v>115</v>
      </c>
      <c r="D82" s="26">
        <v>39444.347999999998</v>
      </c>
      <c r="E82" s="26">
        <v>39444.347999999998</v>
      </c>
      <c r="F82" s="26">
        <v>27909.4</v>
      </c>
      <c r="G82" s="26">
        <f t="shared" si="94"/>
        <v>-11534.947999999997</v>
      </c>
      <c r="H82" s="26">
        <f t="shared" si="6"/>
        <v>70.756398356489512</v>
      </c>
      <c r="I82" s="26">
        <v>1045.18</v>
      </c>
      <c r="J82" s="26">
        <v>1045.18</v>
      </c>
      <c r="K82" s="26">
        <v>864.3</v>
      </c>
      <c r="L82" s="26">
        <f t="shared" si="95"/>
        <v>-180.88000000000011</v>
      </c>
      <c r="M82" s="26">
        <v>0</v>
      </c>
      <c r="N82" s="28">
        <f t="shared" si="73"/>
        <v>40489.527999999998</v>
      </c>
      <c r="O82" s="28">
        <f t="shared" si="73"/>
        <v>40489.527999999998</v>
      </c>
      <c r="P82" s="28">
        <f t="shared" si="43"/>
        <v>28773.7</v>
      </c>
      <c r="Q82" s="28">
        <f t="shared" si="8"/>
        <v>-11715.827999999998</v>
      </c>
      <c r="R82" s="73">
        <f t="shared" si="55"/>
        <v>71.064547850496069</v>
      </c>
    </row>
    <row r="83" spans="1:19" ht="39" x14ac:dyDescent="0.25">
      <c r="A83" s="23"/>
      <c r="B83" s="24">
        <v>8310</v>
      </c>
      <c r="C83" s="25" t="s">
        <v>158</v>
      </c>
      <c r="D83" s="26">
        <v>80.852999999999994</v>
      </c>
      <c r="E83" s="26">
        <v>80.852999999999994</v>
      </c>
      <c r="F83" s="26">
        <v>58.3</v>
      </c>
      <c r="G83" s="26">
        <f t="shared" si="94"/>
        <v>-22.552999999999997</v>
      </c>
      <c r="H83" s="26">
        <f t="shared" si="6"/>
        <v>72.10616798387197</v>
      </c>
      <c r="I83" s="26"/>
      <c r="J83" s="26"/>
      <c r="K83" s="26"/>
      <c r="L83" s="26"/>
      <c r="M83" s="26"/>
      <c r="N83" s="28">
        <f t="shared" si="73"/>
        <v>80.852999999999994</v>
      </c>
      <c r="O83" s="28">
        <f t="shared" si="73"/>
        <v>80.852999999999994</v>
      </c>
      <c r="P83" s="28">
        <f t="shared" si="43"/>
        <v>58.3</v>
      </c>
      <c r="Q83" s="28">
        <f t="shared" si="8"/>
        <v>-22.552999999999997</v>
      </c>
      <c r="R83" s="73">
        <f t="shared" si="55"/>
        <v>72.10616798387197</v>
      </c>
    </row>
    <row r="84" spans="1:19" ht="26.25" x14ac:dyDescent="0.25">
      <c r="A84" s="23"/>
      <c r="B84" s="24" t="s">
        <v>116</v>
      </c>
      <c r="C84" s="25" t="s">
        <v>117</v>
      </c>
      <c r="D84" s="26">
        <v>0</v>
      </c>
      <c r="E84" s="26">
        <v>0</v>
      </c>
      <c r="F84" s="26">
        <v>0</v>
      </c>
      <c r="G84" s="26">
        <f t="shared" si="94"/>
        <v>0</v>
      </c>
      <c r="H84" s="26">
        <v>0</v>
      </c>
      <c r="I84" s="26">
        <v>215.4</v>
      </c>
      <c r="J84" s="26">
        <v>107.6</v>
      </c>
      <c r="K84" s="26">
        <v>99.2</v>
      </c>
      <c r="L84" s="26">
        <f t="shared" si="95"/>
        <v>-8.3999999999999915</v>
      </c>
      <c r="M84" s="26">
        <v>0</v>
      </c>
      <c r="N84" s="28">
        <f t="shared" si="73"/>
        <v>215.4</v>
      </c>
      <c r="O84" s="28">
        <f t="shared" si="73"/>
        <v>107.6</v>
      </c>
      <c r="P84" s="28">
        <f t="shared" si="43"/>
        <v>99.2</v>
      </c>
      <c r="Q84" s="28">
        <f t="shared" si="8"/>
        <v>-8.3999999999999915</v>
      </c>
      <c r="R84" s="73">
        <f t="shared" si="55"/>
        <v>92.193308550185876</v>
      </c>
    </row>
    <row r="85" spans="1:19" ht="17.25" hidden="1" customHeight="1" x14ac:dyDescent="0.25">
      <c r="A85" s="23"/>
      <c r="B85" s="24" t="s">
        <v>118</v>
      </c>
      <c r="C85" s="25" t="s">
        <v>119</v>
      </c>
      <c r="D85" s="26"/>
      <c r="E85" s="26"/>
      <c r="F85" s="26"/>
      <c r="G85" s="26">
        <f t="shared" si="94"/>
        <v>0</v>
      </c>
      <c r="H85" s="26" t="e">
        <f t="shared" si="6"/>
        <v>#DIV/0!</v>
      </c>
      <c r="I85" s="26"/>
      <c r="J85" s="26"/>
      <c r="K85" s="26"/>
      <c r="L85" s="26">
        <f t="shared" si="95"/>
        <v>0</v>
      </c>
      <c r="M85" s="26">
        <v>0</v>
      </c>
      <c r="N85" s="28">
        <f t="shared" si="73"/>
        <v>0</v>
      </c>
      <c r="O85" s="28">
        <f t="shared" si="73"/>
        <v>0</v>
      </c>
      <c r="P85" s="28">
        <f t="shared" si="43"/>
        <v>0</v>
      </c>
      <c r="Q85" s="28">
        <f t="shared" si="8"/>
        <v>0</v>
      </c>
      <c r="R85" s="73" t="e">
        <f t="shared" si="55"/>
        <v>#DIV/0!</v>
      </c>
    </row>
    <row r="86" spans="1:19" ht="18" customHeight="1" x14ac:dyDescent="0.25">
      <c r="A86" s="23"/>
      <c r="B86" s="24" t="s">
        <v>120</v>
      </c>
      <c r="C86" s="25" t="s">
        <v>121</v>
      </c>
      <c r="D86" s="26">
        <v>37667.173000000003</v>
      </c>
      <c r="E86" s="26">
        <v>15016.008</v>
      </c>
      <c r="F86" s="26">
        <v>0</v>
      </c>
      <c r="G86" s="26">
        <f t="shared" si="94"/>
        <v>-15016.008</v>
      </c>
      <c r="H86" s="26">
        <f t="shared" si="6"/>
        <v>0</v>
      </c>
      <c r="I86" s="26">
        <v>0</v>
      </c>
      <c r="J86" s="26">
        <v>0</v>
      </c>
      <c r="K86" s="26">
        <v>0</v>
      </c>
      <c r="L86" s="26">
        <f t="shared" si="95"/>
        <v>0</v>
      </c>
      <c r="M86" s="26">
        <v>0</v>
      </c>
      <c r="N86" s="28">
        <f t="shared" si="73"/>
        <v>37667.173000000003</v>
      </c>
      <c r="O86" s="28">
        <f t="shared" si="73"/>
        <v>15016.008</v>
      </c>
      <c r="P86" s="28">
        <f t="shared" si="43"/>
        <v>0</v>
      </c>
      <c r="Q86" s="28">
        <f t="shared" si="8"/>
        <v>-15016.008</v>
      </c>
      <c r="R86" s="73">
        <f t="shared" si="55"/>
        <v>0</v>
      </c>
    </row>
    <row r="87" spans="1:19" ht="27" hidden="1" customHeight="1" x14ac:dyDescent="0.25">
      <c r="A87" s="23"/>
      <c r="B87" s="24">
        <v>8775</v>
      </c>
      <c r="C87" s="25" t="s">
        <v>122</v>
      </c>
      <c r="D87" s="26"/>
      <c r="E87" s="26"/>
      <c r="F87" s="26"/>
      <c r="G87" s="26">
        <f t="shared" si="94"/>
        <v>0</v>
      </c>
      <c r="H87" s="26"/>
      <c r="I87" s="26"/>
      <c r="J87" s="26"/>
      <c r="K87" s="26"/>
      <c r="L87" s="26"/>
      <c r="M87" s="26">
        <v>0</v>
      </c>
      <c r="N87" s="28">
        <f t="shared" si="73"/>
        <v>0</v>
      </c>
      <c r="O87" s="28">
        <f t="shared" si="73"/>
        <v>0</v>
      </c>
      <c r="P87" s="28">
        <f>F87+K87</f>
        <v>0</v>
      </c>
      <c r="Q87" s="28">
        <f>P87-O87</f>
        <v>0</v>
      </c>
      <c r="R87" s="73" t="e">
        <f t="shared" si="55"/>
        <v>#DIV/0!</v>
      </c>
    </row>
    <row r="88" spans="1:19" ht="18.75" hidden="1" customHeight="1" x14ac:dyDescent="0.25">
      <c r="A88" s="37">
        <v>10</v>
      </c>
      <c r="B88" s="42" t="s">
        <v>123</v>
      </c>
      <c r="C88" s="43" t="s">
        <v>124</v>
      </c>
      <c r="D88" s="33"/>
      <c r="E88" s="33"/>
      <c r="F88" s="33"/>
      <c r="G88" s="33">
        <f>F88-E88</f>
        <v>0</v>
      </c>
      <c r="H88" s="33" t="e">
        <f t="shared" si="6"/>
        <v>#DIV/0!</v>
      </c>
      <c r="I88" s="33"/>
      <c r="J88" s="33"/>
      <c r="K88" s="33"/>
      <c r="L88" s="33">
        <f t="shared" ref="L88:L91" si="96">K88-J88</f>
        <v>0</v>
      </c>
      <c r="M88" s="33">
        <v>0</v>
      </c>
      <c r="N88" s="28">
        <f t="shared" si="73"/>
        <v>0</v>
      </c>
      <c r="O88" s="28">
        <f t="shared" si="73"/>
        <v>0</v>
      </c>
      <c r="P88" s="35">
        <f t="shared" si="43"/>
        <v>0</v>
      </c>
      <c r="Q88" s="35">
        <f>P88-O88</f>
        <v>0</v>
      </c>
      <c r="R88" s="73" t="e">
        <f t="shared" si="55"/>
        <v>#DIV/0!</v>
      </c>
      <c r="S88" s="36"/>
    </row>
    <row r="89" spans="1:19" ht="26.25" hidden="1" customHeight="1" x14ac:dyDescent="0.25">
      <c r="A89" s="37">
        <v>11</v>
      </c>
      <c r="B89" s="42">
        <v>9770</v>
      </c>
      <c r="C89" s="43" t="s">
        <v>125</v>
      </c>
      <c r="D89" s="33"/>
      <c r="E89" s="33"/>
      <c r="F89" s="33"/>
      <c r="G89" s="33">
        <f>F89-E89</f>
        <v>0</v>
      </c>
      <c r="H89" s="33" t="e">
        <f t="shared" si="6"/>
        <v>#DIV/0!</v>
      </c>
      <c r="I89" s="33"/>
      <c r="J89" s="33"/>
      <c r="K89" s="33"/>
      <c r="L89" s="33"/>
      <c r="M89" s="33"/>
      <c r="N89" s="28">
        <f t="shared" si="73"/>
        <v>0</v>
      </c>
      <c r="O89" s="28">
        <f t="shared" si="73"/>
        <v>0</v>
      </c>
      <c r="P89" s="28">
        <f>F89+K89</f>
        <v>0</v>
      </c>
      <c r="Q89" s="28">
        <f>P89-O89</f>
        <v>0</v>
      </c>
      <c r="R89" s="73" t="e">
        <f t="shared" si="55"/>
        <v>#DIV/0!</v>
      </c>
      <c r="S89" s="36"/>
    </row>
    <row r="90" spans="1:19" ht="51.75" hidden="1" x14ac:dyDescent="0.25">
      <c r="A90" s="37">
        <v>12</v>
      </c>
      <c r="B90" s="42">
        <v>9800</v>
      </c>
      <c r="C90" s="43" t="s">
        <v>126</v>
      </c>
      <c r="D90" s="33"/>
      <c r="E90" s="33"/>
      <c r="F90" s="33"/>
      <c r="G90" s="33">
        <f>F90-E90</f>
        <v>0</v>
      </c>
      <c r="H90" s="33" t="e">
        <f t="shared" si="6"/>
        <v>#DIV/0!</v>
      </c>
      <c r="I90" s="33"/>
      <c r="J90" s="33"/>
      <c r="K90" s="33"/>
      <c r="L90" s="33">
        <f t="shared" si="96"/>
        <v>0</v>
      </c>
      <c r="M90" s="33">
        <v>0</v>
      </c>
      <c r="N90" s="28">
        <f t="shared" si="73"/>
        <v>0</v>
      </c>
      <c r="O90" s="28">
        <f t="shared" si="73"/>
        <v>0</v>
      </c>
      <c r="P90" s="35">
        <f t="shared" si="43"/>
        <v>0</v>
      </c>
      <c r="Q90" s="35">
        <f>P90-O90</f>
        <v>0</v>
      </c>
      <c r="R90" s="73" t="e">
        <f t="shared" si="55"/>
        <v>#DIV/0!</v>
      </c>
      <c r="S90" s="36"/>
    </row>
    <row r="91" spans="1:19" x14ac:dyDescent="0.25">
      <c r="A91" s="37"/>
      <c r="B91" s="42">
        <v>9110</v>
      </c>
      <c r="C91" s="43" t="s">
        <v>124</v>
      </c>
      <c r="D91" s="33">
        <v>136743.20000000001</v>
      </c>
      <c r="E91" s="33">
        <v>79767.100000000006</v>
      </c>
      <c r="F91" s="33">
        <v>79767.100000000006</v>
      </c>
      <c r="G91" s="33">
        <f t="shared" ref="G91:G93" si="97">F91-E91</f>
        <v>0</v>
      </c>
      <c r="H91" s="33">
        <f t="shared" ref="H91:H93" si="98">SUM(F91/E91)*100</f>
        <v>100</v>
      </c>
      <c r="I91" s="33">
        <v>0</v>
      </c>
      <c r="J91" s="33">
        <v>0</v>
      </c>
      <c r="K91" s="33">
        <v>0</v>
      </c>
      <c r="L91" s="26">
        <f t="shared" si="96"/>
        <v>0</v>
      </c>
      <c r="M91" s="33">
        <v>0</v>
      </c>
      <c r="N91" s="28">
        <f t="shared" si="73"/>
        <v>136743.20000000001</v>
      </c>
      <c r="O91" s="28">
        <f t="shared" si="73"/>
        <v>79767.100000000006</v>
      </c>
      <c r="P91" s="28">
        <f t="shared" si="43"/>
        <v>79767.100000000006</v>
      </c>
      <c r="Q91" s="28">
        <f t="shared" ref="Q91:Q93" si="99">P91-O91</f>
        <v>0</v>
      </c>
      <c r="R91" s="73">
        <f t="shared" si="55"/>
        <v>100</v>
      </c>
      <c r="S91" s="36"/>
    </row>
    <row r="92" spans="1:19" x14ac:dyDescent="0.25">
      <c r="A92" s="37"/>
      <c r="B92" s="42">
        <v>9770</v>
      </c>
      <c r="C92" s="43" t="s">
        <v>125</v>
      </c>
      <c r="D92" s="33"/>
      <c r="E92" s="33"/>
      <c r="F92" s="33"/>
      <c r="G92" s="33"/>
      <c r="H92" s="33"/>
      <c r="I92" s="33">
        <v>2567</v>
      </c>
      <c r="J92" s="33">
        <v>2567</v>
      </c>
      <c r="K92" s="33">
        <v>2567</v>
      </c>
      <c r="L92" s="26"/>
      <c r="M92" s="33"/>
      <c r="N92" s="28"/>
      <c r="O92" s="28"/>
      <c r="P92" s="35">
        <f t="shared" si="43"/>
        <v>2567</v>
      </c>
      <c r="Q92" s="28"/>
      <c r="R92" s="73"/>
      <c r="S92" s="36"/>
    </row>
    <row r="93" spans="1:19" ht="51.75" x14ac:dyDescent="0.25">
      <c r="A93" s="37"/>
      <c r="B93" s="42">
        <v>9800</v>
      </c>
      <c r="C93" s="43" t="s">
        <v>126</v>
      </c>
      <c r="D93" s="33">
        <v>13912.84</v>
      </c>
      <c r="E93" s="33">
        <v>13912.84</v>
      </c>
      <c r="F93" s="33">
        <v>13832.8</v>
      </c>
      <c r="G93" s="26">
        <f t="shared" si="97"/>
        <v>-80.040000000000873</v>
      </c>
      <c r="H93" s="26">
        <f t="shared" si="98"/>
        <v>99.424704086297254</v>
      </c>
      <c r="I93" s="33">
        <v>10811.136</v>
      </c>
      <c r="J93" s="33">
        <v>10811.136</v>
      </c>
      <c r="K93" s="33">
        <v>10811.1</v>
      </c>
      <c r="L93" s="33">
        <f t="shared" ref="L93" si="100">K93-J93</f>
        <v>-3.6000000000058208E-2</v>
      </c>
      <c r="M93" s="33">
        <v>0</v>
      </c>
      <c r="N93" s="35">
        <f t="shared" si="73"/>
        <v>24723.976000000002</v>
      </c>
      <c r="O93" s="35">
        <f t="shared" si="73"/>
        <v>24723.976000000002</v>
      </c>
      <c r="P93" s="35">
        <f t="shared" si="43"/>
        <v>24643.9</v>
      </c>
      <c r="Q93" s="35">
        <f t="shared" si="99"/>
        <v>-80.076000000000931</v>
      </c>
      <c r="R93" s="72">
        <f t="shared" si="55"/>
        <v>99.676120054476669</v>
      </c>
      <c r="S93" s="36"/>
    </row>
    <row r="94" spans="1:19" x14ac:dyDescent="0.25">
      <c r="A94" s="75"/>
      <c r="B94" s="42" t="s">
        <v>127</v>
      </c>
      <c r="C94" s="76" t="s">
        <v>128</v>
      </c>
      <c r="D94" s="33">
        <f>D8+D12+D32+D35+D51+D56+D60+D64+D80+D88+D89+D90+D91+D93</f>
        <v>811557.47499999998</v>
      </c>
      <c r="E94" s="33">
        <f>E8+E12+E32+E35+E51+E56+E60+E64+E80+E88+E89+E90+E91+E93</f>
        <v>548637.65300000005</v>
      </c>
      <c r="F94" s="33">
        <f>F8+F12+F32+F35+F51+F56+F60+F64+F80+F88+F89+F90+F91+F93</f>
        <v>472895.1999999999</v>
      </c>
      <c r="G94" s="33">
        <f>G8+G12+G32+G35+G51+G56+G60+G64+G80+G88+G89+G90+G91+G93</f>
        <v>-72667.388000000006</v>
      </c>
      <c r="H94" s="33">
        <f t="shared" si="6"/>
        <v>86.194448633659462</v>
      </c>
      <c r="I94" s="33">
        <f>I8+I12+I32+I35+I51+I56+I60+I64+I80+I88+I89+I90+I91+I92+I93</f>
        <v>107806.43600000002</v>
      </c>
      <c r="J94" s="33">
        <f>J8+J12+J32+J35+J51+J56+J60+J64+J80+J88+J89+J90+J91+J92+J93</f>
        <v>103431.57900000001</v>
      </c>
      <c r="K94" s="33">
        <f>K8+K12+K32+K35+K51+K56+K60+K64+K80+K88+K89+K90+K91+K93+K92</f>
        <v>53827.799999999996</v>
      </c>
      <c r="L94" s="33">
        <f>L8+L12+L32+L35+L51+L56+L60+L64+L80+L88+L89+L90+L91+L93</f>
        <v>-29693.561999999998</v>
      </c>
      <c r="M94" s="22">
        <f t="shared" ref="M94" si="101">SUM(K94/J94)*100</f>
        <v>52.041939725197452</v>
      </c>
      <c r="N94" s="33">
        <f t="shared" ref="N94:P94" si="102">N8+N12+N32+N35+N51+N56+N60+N64+N80+N88+N89+N90+N91+N92+N93</f>
        <v>916568.65000000014</v>
      </c>
      <c r="O94" s="33">
        <f t="shared" si="102"/>
        <v>647548.02099999995</v>
      </c>
      <c r="P94" s="33">
        <f t="shared" si="102"/>
        <v>526723</v>
      </c>
      <c r="Q94" s="33">
        <f>Q8+Q12+Q32+Q35+Q51+Q56+Q60+Q64+Q80+Q88+Q89+Q90+Q91+Q93</f>
        <v>-106879.69999999997</v>
      </c>
      <c r="R94" s="72">
        <f t="shared" si="55"/>
        <v>81.341148906082452</v>
      </c>
      <c r="S94" s="36"/>
    </row>
    <row r="95" spans="1:19" ht="15.75" x14ac:dyDescent="0.25">
      <c r="A95" s="44">
        <v>13</v>
      </c>
      <c r="B95" s="45"/>
      <c r="C95" s="46" t="s">
        <v>129</v>
      </c>
      <c r="D95" s="47"/>
      <c r="E95" s="47"/>
      <c r="F95" s="47"/>
      <c r="G95" s="47"/>
      <c r="H95" s="48"/>
      <c r="I95" s="47"/>
      <c r="J95" s="47"/>
      <c r="K95" s="47"/>
      <c r="L95" s="47"/>
      <c r="M95" s="49"/>
      <c r="N95" s="47"/>
      <c r="O95" s="47"/>
      <c r="P95" s="47"/>
      <c r="Q95" s="47"/>
      <c r="R95" s="49"/>
      <c r="S95" s="1"/>
    </row>
    <row r="96" spans="1:19" x14ac:dyDescent="0.25">
      <c r="A96" s="50"/>
      <c r="B96" s="17" t="s">
        <v>130</v>
      </c>
      <c r="C96" s="51" t="s">
        <v>112</v>
      </c>
      <c r="D96" s="35">
        <f>SUM(D97)</f>
        <v>0</v>
      </c>
      <c r="E96" s="35">
        <f>SUM(E97)</f>
        <v>0</v>
      </c>
      <c r="F96" s="35">
        <f>SUM(F97)</f>
        <v>0</v>
      </c>
      <c r="G96" s="35">
        <f>SUM(G97)</f>
        <v>0</v>
      </c>
      <c r="H96" s="22">
        <v>0</v>
      </c>
      <c r="I96" s="35">
        <f t="shared" ref="I96:P96" si="103">SUM(I97)</f>
        <v>0</v>
      </c>
      <c r="J96" s="35">
        <f t="shared" si="103"/>
        <v>0</v>
      </c>
      <c r="K96" s="35">
        <f t="shared" si="103"/>
        <v>-279.8</v>
      </c>
      <c r="L96" s="35">
        <f t="shared" si="103"/>
        <v>-279.79999999999995</v>
      </c>
      <c r="M96" s="22">
        <v>0</v>
      </c>
      <c r="N96" s="35">
        <f t="shared" si="103"/>
        <v>0</v>
      </c>
      <c r="O96" s="35">
        <f t="shared" si="103"/>
        <v>0</v>
      </c>
      <c r="P96" s="35">
        <f t="shared" si="103"/>
        <v>-279.8</v>
      </c>
      <c r="Q96" s="35">
        <f>SUM(P96-O96)</f>
        <v>-279.8</v>
      </c>
      <c r="R96" s="73">
        <v>0</v>
      </c>
      <c r="S96" s="52"/>
    </row>
    <row r="97" spans="1:19" x14ac:dyDescent="0.25">
      <c r="A97" s="50"/>
      <c r="B97" s="10" t="s">
        <v>131</v>
      </c>
      <c r="C97" s="53" t="s">
        <v>132</v>
      </c>
      <c r="D97" s="28">
        <v>0</v>
      </c>
      <c r="E97" s="28">
        <v>0</v>
      </c>
      <c r="F97" s="28">
        <f>F100+F98</f>
        <v>0</v>
      </c>
      <c r="G97" s="28">
        <f>SUM(G100)</f>
        <v>0</v>
      </c>
      <c r="H97" s="22">
        <v>0</v>
      </c>
      <c r="I97" s="28">
        <v>0</v>
      </c>
      <c r="J97" s="28">
        <v>0</v>
      </c>
      <c r="K97" s="28">
        <f>K98+K100</f>
        <v>-279.8</v>
      </c>
      <c r="L97" s="28">
        <f>L100+L98</f>
        <v>-279.79999999999995</v>
      </c>
      <c r="M97" s="27">
        <v>0</v>
      </c>
      <c r="N97" s="28">
        <f>SUM(N100)</f>
        <v>0</v>
      </c>
      <c r="O97" s="28">
        <f>SUM(O100)</f>
        <v>0</v>
      </c>
      <c r="P97" s="28">
        <f>P98+P100</f>
        <v>-279.8</v>
      </c>
      <c r="Q97" s="28">
        <f>SUM(P97-O97)</f>
        <v>-279.8</v>
      </c>
      <c r="R97" s="73">
        <v>0</v>
      </c>
      <c r="S97" s="1"/>
    </row>
    <row r="98" spans="1:19" ht="64.5" x14ac:dyDescent="0.25">
      <c r="A98" s="50"/>
      <c r="B98" s="17">
        <v>8820</v>
      </c>
      <c r="C98" s="54" t="s">
        <v>133</v>
      </c>
      <c r="D98" s="35">
        <v>0</v>
      </c>
      <c r="E98" s="35">
        <v>0</v>
      </c>
      <c r="F98" s="35">
        <v>0</v>
      </c>
      <c r="G98" s="35">
        <v>0</v>
      </c>
      <c r="H98" s="22">
        <v>0</v>
      </c>
      <c r="I98" s="35">
        <v>0</v>
      </c>
      <c r="J98" s="35">
        <v>0</v>
      </c>
      <c r="K98" s="22">
        <f>K99</f>
        <v>0</v>
      </c>
      <c r="L98" s="22">
        <f>L99</f>
        <v>0</v>
      </c>
      <c r="M98" s="22">
        <v>0</v>
      </c>
      <c r="N98" s="35">
        <v>0</v>
      </c>
      <c r="O98" s="35">
        <v>0</v>
      </c>
      <c r="P98" s="28">
        <f t="shared" ref="P98" si="104">SUM(F98+K98)</f>
        <v>0</v>
      </c>
      <c r="Q98" s="28">
        <f>SUM(P98-O98)</f>
        <v>0</v>
      </c>
      <c r="R98" s="73">
        <v>0</v>
      </c>
      <c r="S98" s="52"/>
    </row>
    <row r="99" spans="1:19" ht="66.75" customHeight="1" x14ac:dyDescent="0.25">
      <c r="A99" s="50"/>
      <c r="B99" s="10">
        <v>8822</v>
      </c>
      <c r="C99" s="55" t="s">
        <v>134</v>
      </c>
      <c r="D99" s="28">
        <v>0</v>
      </c>
      <c r="E99" s="28">
        <v>0</v>
      </c>
      <c r="F99" s="28">
        <v>0</v>
      </c>
      <c r="G99" s="28">
        <v>0</v>
      </c>
      <c r="H99" s="27">
        <v>0</v>
      </c>
      <c r="I99" s="28">
        <v>0</v>
      </c>
      <c r="J99" s="28">
        <v>0</v>
      </c>
      <c r="K99" s="35">
        <v>0</v>
      </c>
      <c r="L99" s="28">
        <f>K99-J99</f>
        <v>0</v>
      </c>
      <c r="M99" s="27">
        <v>0</v>
      </c>
      <c r="N99" s="28">
        <v>0</v>
      </c>
      <c r="O99" s="28">
        <v>0</v>
      </c>
      <c r="P99" s="28">
        <f>SUM(F99+K99)</f>
        <v>0</v>
      </c>
      <c r="Q99" s="28">
        <f>SUM(P99-O99)</f>
        <v>0</v>
      </c>
      <c r="R99" s="73">
        <v>0</v>
      </c>
      <c r="S99" s="1"/>
    </row>
    <row r="100" spans="1:19" ht="43.5" customHeight="1" x14ac:dyDescent="0.25">
      <c r="A100" s="50"/>
      <c r="B100" s="17" t="s">
        <v>135</v>
      </c>
      <c r="C100" s="54" t="s">
        <v>136</v>
      </c>
      <c r="D100" s="34">
        <f>SUM(D101:D102)</f>
        <v>0</v>
      </c>
      <c r="E100" s="34">
        <f>SUM(E101:E102)</f>
        <v>0</v>
      </c>
      <c r="F100" s="34">
        <f>F101</f>
        <v>0</v>
      </c>
      <c r="G100" s="35">
        <f>SUM(F100-E100)</f>
        <v>0</v>
      </c>
      <c r="H100" s="22">
        <v>0</v>
      </c>
      <c r="I100" s="35">
        <f>I101+I102</f>
        <v>0</v>
      </c>
      <c r="J100" s="35">
        <f>J101+J102</f>
        <v>0</v>
      </c>
      <c r="K100" s="35">
        <f>K101+K102</f>
        <v>-279.8</v>
      </c>
      <c r="L100" s="35">
        <f>L102+L101</f>
        <v>-279.79999999999995</v>
      </c>
      <c r="M100" s="22">
        <v>0</v>
      </c>
      <c r="N100" s="35">
        <f>N101+N102</f>
        <v>0</v>
      </c>
      <c r="O100" s="35">
        <f>O101+O102</f>
        <v>0</v>
      </c>
      <c r="P100" s="35">
        <f>P101+P102</f>
        <v>-279.8</v>
      </c>
      <c r="Q100" s="35">
        <f>P100-O100</f>
        <v>-279.8</v>
      </c>
      <c r="R100" s="73">
        <v>0</v>
      </c>
      <c r="S100" s="52"/>
    </row>
    <row r="101" spans="1:19" ht="54" customHeight="1" x14ac:dyDescent="0.25">
      <c r="A101" s="50"/>
      <c r="B101" s="10" t="s">
        <v>137</v>
      </c>
      <c r="C101" s="56" t="s">
        <v>138</v>
      </c>
      <c r="D101" s="57">
        <v>0</v>
      </c>
      <c r="E101" s="57">
        <v>0</v>
      </c>
      <c r="F101" s="28">
        <v>0</v>
      </c>
      <c r="G101" s="28">
        <f>SUM(F101-E101)</f>
        <v>0</v>
      </c>
      <c r="H101" s="27">
        <v>0</v>
      </c>
      <c r="I101" s="28">
        <v>1200</v>
      </c>
      <c r="J101" s="28">
        <v>800</v>
      </c>
      <c r="K101" s="28">
        <v>0</v>
      </c>
      <c r="L101" s="28">
        <f>SUM(K101-J101)</f>
        <v>-800</v>
      </c>
      <c r="M101" s="27">
        <v>0</v>
      </c>
      <c r="N101" s="28">
        <f t="shared" ref="N101:P102" si="105">SUM(D101+I101)</f>
        <v>1200</v>
      </c>
      <c r="O101" s="28">
        <f t="shared" si="105"/>
        <v>800</v>
      </c>
      <c r="P101" s="28">
        <f t="shared" si="105"/>
        <v>0</v>
      </c>
      <c r="Q101" s="28">
        <f>SUM(P101-O101)</f>
        <v>-800</v>
      </c>
      <c r="R101" s="73">
        <f t="shared" si="55"/>
        <v>0</v>
      </c>
      <c r="S101" s="1"/>
    </row>
    <row r="102" spans="1:19" ht="52.5" thickBot="1" x14ac:dyDescent="0.3">
      <c r="A102" s="58"/>
      <c r="B102" s="59" t="s">
        <v>139</v>
      </c>
      <c r="C102" s="60" t="s">
        <v>140</v>
      </c>
      <c r="D102" s="61">
        <v>0</v>
      </c>
      <c r="E102" s="61">
        <v>0</v>
      </c>
      <c r="F102" s="61">
        <v>0</v>
      </c>
      <c r="G102" s="61">
        <f>SUM(F102-E102)</f>
        <v>0</v>
      </c>
      <c r="H102" s="62">
        <v>0</v>
      </c>
      <c r="I102" s="28">
        <v>-1200</v>
      </c>
      <c r="J102" s="28">
        <v>-800</v>
      </c>
      <c r="K102" s="61">
        <v>-279.8</v>
      </c>
      <c r="L102" s="61">
        <f>SUM(K102-J102)</f>
        <v>520.20000000000005</v>
      </c>
      <c r="M102" s="62">
        <v>0</v>
      </c>
      <c r="N102" s="28">
        <f t="shared" si="105"/>
        <v>-1200</v>
      </c>
      <c r="O102" s="61">
        <f t="shared" si="105"/>
        <v>-800</v>
      </c>
      <c r="P102" s="61">
        <f t="shared" si="105"/>
        <v>-279.8</v>
      </c>
      <c r="Q102" s="61">
        <f>SUM(P102-O102)</f>
        <v>520.20000000000005</v>
      </c>
      <c r="R102" s="73">
        <f t="shared" si="55"/>
        <v>34.975000000000001</v>
      </c>
      <c r="S102" s="1"/>
    </row>
    <row r="103" spans="1:19" ht="15.75" thickBot="1" x14ac:dyDescent="0.3">
      <c r="A103" s="63"/>
      <c r="B103" s="64"/>
      <c r="C103" s="65" t="s">
        <v>128</v>
      </c>
      <c r="D103" s="66">
        <f>SUM(D101:D102)</f>
        <v>0</v>
      </c>
      <c r="E103" s="67">
        <f t="shared" ref="E103:O103" si="106">SUM(E101:E102)</f>
        <v>0</v>
      </c>
      <c r="F103" s="67">
        <f t="shared" si="106"/>
        <v>0</v>
      </c>
      <c r="G103" s="67">
        <f t="shared" si="106"/>
        <v>0</v>
      </c>
      <c r="H103" s="68">
        <v>0</v>
      </c>
      <c r="I103" s="67">
        <f t="shared" si="106"/>
        <v>0</v>
      </c>
      <c r="J103" s="67">
        <f t="shared" si="106"/>
        <v>0</v>
      </c>
      <c r="K103" s="67">
        <f>K98+K100</f>
        <v>-279.8</v>
      </c>
      <c r="L103" s="67">
        <f>L98+L100</f>
        <v>-279.79999999999995</v>
      </c>
      <c r="M103" s="68">
        <v>0</v>
      </c>
      <c r="N103" s="67">
        <f t="shared" si="106"/>
        <v>0</v>
      </c>
      <c r="O103" s="67">
        <f t="shared" si="106"/>
        <v>0</v>
      </c>
      <c r="P103" s="67">
        <f>P98+P100</f>
        <v>-279.8</v>
      </c>
      <c r="Q103" s="67">
        <f>Q98+Q100</f>
        <v>-279.8</v>
      </c>
      <c r="R103" s="72">
        <v>0</v>
      </c>
      <c r="S103" s="36"/>
    </row>
    <row r="104" spans="1:19" x14ac:dyDescent="0.25">
      <c r="A104" s="78"/>
      <c r="B104" s="79"/>
      <c r="C104" s="79"/>
      <c r="D104" s="80"/>
      <c r="E104" s="80"/>
      <c r="F104" s="80"/>
      <c r="G104" s="80"/>
      <c r="H104" s="81"/>
      <c r="I104" s="80"/>
      <c r="J104" s="80"/>
      <c r="K104" s="80"/>
      <c r="L104" s="80"/>
      <c r="M104" s="81"/>
      <c r="N104" s="80"/>
      <c r="O104" s="80"/>
      <c r="P104" s="80"/>
      <c r="Q104" s="80"/>
      <c r="R104" s="82"/>
    </row>
    <row r="105" spans="1:19" x14ac:dyDescent="0.25">
      <c r="B105" s="2"/>
      <c r="C105" t="s">
        <v>141</v>
      </c>
      <c r="D105" s="3"/>
      <c r="E105" s="3"/>
      <c r="G105" s="83" t="s">
        <v>142</v>
      </c>
      <c r="H105" s="83"/>
      <c r="I105" s="83"/>
      <c r="J105" s="3"/>
      <c r="K105" s="3"/>
      <c r="N105" s="1"/>
      <c r="O105" s="1"/>
      <c r="P105" s="1"/>
      <c r="Q105" s="1"/>
      <c r="R105" s="69"/>
    </row>
    <row r="106" spans="1:19" x14ac:dyDescent="0.25">
      <c r="B106" s="2"/>
      <c r="D106" s="3"/>
      <c r="E106" s="3"/>
      <c r="I106" s="3"/>
      <c r="J106" s="3"/>
      <c r="K106" s="3"/>
      <c r="N106" s="1"/>
      <c r="O106" s="1"/>
      <c r="P106" s="1"/>
      <c r="Q106" s="1"/>
      <c r="R106" s="69"/>
    </row>
  </sheetData>
  <mergeCells count="23">
    <mergeCell ref="I4:I5"/>
    <mergeCell ref="M4:M5"/>
    <mergeCell ref="N4:N5"/>
    <mergeCell ref="O4:O5"/>
    <mergeCell ref="J4:J5"/>
    <mergeCell ref="K4:K5"/>
    <mergeCell ref="L4:L5"/>
    <mergeCell ref="G105:I105"/>
    <mergeCell ref="A1:Q1"/>
    <mergeCell ref="A3:A5"/>
    <mergeCell ref="B3:B5"/>
    <mergeCell ref="C3:C5"/>
    <mergeCell ref="D3:H3"/>
    <mergeCell ref="I3:M3"/>
    <mergeCell ref="N3:R3"/>
    <mergeCell ref="D4:D5"/>
    <mergeCell ref="E4:E5"/>
    <mergeCell ref="F4:F5"/>
    <mergeCell ref="P4:P5"/>
    <mergeCell ref="Q4:Q5"/>
    <mergeCell ref="R4:R5"/>
    <mergeCell ref="G4:G5"/>
    <mergeCell ref="H4:H5"/>
  </mergeCells>
  <pageMargins left="0.31496062992125984" right="0.31496062992125984" top="0.15748031496062992" bottom="0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Samchuk_K</dc:creator>
  <cp:lastModifiedBy>Галина СИРГІ</cp:lastModifiedBy>
  <cp:lastPrinted>2025-08-08T05:46:29Z</cp:lastPrinted>
  <dcterms:created xsi:type="dcterms:W3CDTF">2023-06-12T14:12:30Z</dcterms:created>
  <dcterms:modified xsi:type="dcterms:W3CDTF">2025-08-08T06:05:13Z</dcterms:modified>
</cp:coreProperties>
</file>